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Souhrnný rozpočet\Souhrnný rozpočet 2023\INTERNET\"/>
    </mc:Choice>
  </mc:AlternateContent>
  <xr:revisionPtr revIDLastSave="0" documentId="13_ncr:1_{BFF1800F-60FE-4115-9777-2A3520D640F1}" xr6:coauthVersionLast="46" xr6:coauthVersionMax="46" xr10:uidLastSave="{00000000-0000-0000-0000-000000000000}"/>
  <bookViews>
    <workbookView xWindow="-120" yWindow="-120" windowWidth="29040" windowHeight="15990" tabRatio="721" xr2:uid="{00000000-000D-0000-FFFF-FFFF00000000}"/>
  </bookViews>
  <sheets>
    <sheet name="Bilance" sheetId="1" r:id="rId1"/>
    <sheet name="Transfery" sheetId="2" r:id="rId2"/>
    <sheet name="Příjmy" sheetId="4" r:id="rId3"/>
    <sheet name="Daňové a Transfery" sheetId="5" r:id="rId4"/>
    <sheet name="N a K" sheetId="6" r:id="rId5"/>
    <sheet name="Příjmy_G" sheetId="9" r:id="rId6"/>
    <sheet name="Výdaje" sheetId="7" r:id="rId7"/>
    <sheet name="B a K" sheetId="8" r:id="rId8"/>
    <sheet name="Výdaje_G" sheetId="10" r:id="rId9"/>
  </sheets>
  <definedNames>
    <definedName name="_xlnm._FilterDatabase" localSheetId="7">#REF!</definedName>
    <definedName name="_xlnm._FilterDatabase" localSheetId="2" hidden="1">Příjmy!#REF!</definedName>
    <definedName name="_xlnm._FilterDatabase" localSheetId="6" hidden="1">Výdaje!#REF!</definedName>
    <definedName name="_xlnm._FilterDatabase">#REF!</definedName>
    <definedName name="fghsdfassččč" localSheetId="7">#REF!</definedName>
    <definedName name="fghtfhft" localSheetId="7">#REF!</definedName>
    <definedName name="gfhfghfghghj" localSheetId="7" hidden="1">'B a K'!$A$5:$E$10</definedName>
    <definedName name="ghjsrfsefjh" localSheetId="7">'B a K'!$A$7:$E$36</definedName>
    <definedName name="hhfhfghh" localSheetId="7">#REF!</definedName>
    <definedName name="jkljhl565" localSheetId="7">#REF!</definedName>
    <definedName name="_xlnm.Print_Titles" localSheetId="7">'B a K'!$1:$5</definedName>
    <definedName name="_xlnm.Print_Titles" localSheetId="3">'Daňové a Transfery'!$4:$5</definedName>
    <definedName name="_xlnm.Print_Titles" localSheetId="4">'N a K'!$1:$6</definedName>
    <definedName name="_xlnm.Print_Area" localSheetId="7">'B a K'!$A$1:$M$201</definedName>
    <definedName name="_xlnm.Print_Area" localSheetId="3">'Daňové a Transfery'!$A$1:$G$58</definedName>
    <definedName name="_xlnm.Print_Area" localSheetId="4">'N a K'!$A$1:$J$116</definedName>
    <definedName name="_xlnm.Print_Area" localSheetId="2">Příjmy!$A$1:$H$34</definedName>
    <definedName name="_xlnm.Print_Area" localSheetId="1">Transfery!$A$1:$D$54</definedName>
    <definedName name="_xlnm.Print_Area" localSheetId="6">Výdaje!$A$1:$K$32</definedName>
    <definedName name="_xlnm.Print_Area" localSheetId="8">Výdaje_G!$A$1:$K$58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R20" i="10"/>
  <c r="P31" i="10"/>
  <c r="W31" i="10"/>
  <c r="H94" i="8"/>
  <c r="H162" i="8"/>
  <c r="E94" i="8"/>
  <c r="E95" i="8"/>
  <c r="E96" i="8"/>
  <c r="E97" i="8"/>
  <c r="E190" i="8"/>
  <c r="H190" i="8"/>
  <c r="K30" i="8" l="1"/>
  <c r="M109" i="8" l="1"/>
  <c r="L109" i="8"/>
  <c r="H109" i="8"/>
  <c r="E109" i="8"/>
  <c r="B109" i="8"/>
  <c r="A109" i="8"/>
  <c r="N5" i="4"/>
  <c r="E39" i="6"/>
  <c r="F40" i="6"/>
  <c r="G40" i="6"/>
  <c r="I40" i="6"/>
  <c r="J40" i="6"/>
  <c r="M14" i="6"/>
  <c r="L14" i="6"/>
  <c r="K14" i="6" s="1"/>
  <c r="E14" i="6"/>
  <c r="F46" i="1"/>
  <c r="F59" i="1" s="1"/>
  <c r="F63" i="1"/>
  <c r="L105" i="8"/>
  <c r="L94" i="8"/>
  <c r="K94" i="8" s="1"/>
  <c r="L82" i="8"/>
  <c r="L81" i="8"/>
  <c r="L80" i="8"/>
  <c r="L79" i="8"/>
  <c r="L78" i="8"/>
  <c r="L64" i="8"/>
  <c r="L62" i="8"/>
  <c r="L58" i="8"/>
  <c r="L57" i="8"/>
  <c r="L56" i="8"/>
  <c r="L52" i="8"/>
  <c r="L45" i="8"/>
  <c r="L42" i="8"/>
  <c r="L30" i="8"/>
  <c r="L26" i="8"/>
  <c r="L21" i="8"/>
  <c r="L19" i="8"/>
  <c r="L12" i="8"/>
  <c r="L7" i="8"/>
  <c r="E30" i="8"/>
  <c r="A30" i="8"/>
  <c r="B30" i="8"/>
  <c r="B94" i="8"/>
  <c r="A94" i="8"/>
  <c r="F36" i="6"/>
  <c r="G36" i="6"/>
  <c r="I36" i="6"/>
  <c r="J36" i="6"/>
  <c r="M34" i="6"/>
  <c r="L34" i="6"/>
  <c r="H34" i="6"/>
  <c r="E34" i="6"/>
  <c r="K109" i="8" l="1"/>
  <c r="K34" i="6"/>
  <c r="E46" i="1"/>
  <c r="E59" i="1" l="1"/>
  <c r="E60" i="1" s="1"/>
  <c r="E63" i="1"/>
  <c r="Q18" i="10" l="1"/>
  <c r="M189" i="8"/>
  <c r="L189" i="8"/>
  <c r="M180" i="8"/>
  <c r="L180" i="8"/>
  <c r="M179" i="8"/>
  <c r="L179" i="8"/>
  <c r="M174" i="8"/>
  <c r="L174" i="8"/>
  <c r="M169" i="8"/>
  <c r="L169" i="8"/>
  <c r="M168" i="8"/>
  <c r="L168" i="8"/>
  <c r="M165" i="8"/>
  <c r="L165" i="8"/>
  <c r="M164" i="8"/>
  <c r="L164" i="8"/>
  <c r="M163" i="8"/>
  <c r="L163" i="8"/>
  <c r="M162" i="8"/>
  <c r="L162" i="8"/>
  <c r="M161" i="8"/>
  <c r="L161" i="8"/>
  <c r="M156" i="8"/>
  <c r="L156" i="8"/>
  <c r="M155" i="8"/>
  <c r="L155" i="8"/>
  <c r="M154" i="8"/>
  <c r="L154" i="8"/>
  <c r="M153" i="8"/>
  <c r="L153" i="8"/>
  <c r="M152" i="8"/>
  <c r="L152" i="8"/>
  <c r="M151" i="8"/>
  <c r="L151" i="8"/>
  <c r="M150" i="8"/>
  <c r="L150" i="8"/>
  <c r="M149" i="8"/>
  <c r="L149" i="8"/>
  <c r="M148" i="8"/>
  <c r="L148" i="8"/>
  <c r="M147" i="8"/>
  <c r="L147" i="8"/>
  <c r="M146" i="8"/>
  <c r="L146" i="8"/>
  <c r="M145" i="8"/>
  <c r="L145" i="8"/>
  <c r="M144" i="8"/>
  <c r="L144" i="8"/>
  <c r="M143" i="8"/>
  <c r="L143" i="8"/>
  <c r="M142" i="8"/>
  <c r="L142" i="8"/>
  <c r="M141" i="8"/>
  <c r="L141" i="8"/>
  <c r="M140" i="8"/>
  <c r="L140" i="8"/>
  <c r="M129" i="8"/>
  <c r="L129" i="8"/>
  <c r="M128" i="8"/>
  <c r="L128" i="8"/>
  <c r="M127" i="8"/>
  <c r="L127" i="8"/>
  <c r="M126" i="8"/>
  <c r="L126" i="8"/>
  <c r="M125" i="8"/>
  <c r="L125" i="8"/>
  <c r="M124" i="8"/>
  <c r="L124" i="8"/>
  <c r="M123" i="8"/>
  <c r="L123" i="8"/>
  <c r="M122" i="8"/>
  <c r="L122" i="8"/>
  <c r="M121" i="8"/>
  <c r="L121" i="8"/>
  <c r="M120" i="8"/>
  <c r="L120" i="8"/>
  <c r="M119" i="8"/>
  <c r="L119" i="8"/>
  <c r="M118" i="8"/>
  <c r="L118" i="8"/>
  <c r="M117" i="8"/>
  <c r="L117" i="8"/>
  <c r="M116" i="8"/>
  <c r="L116" i="8"/>
  <c r="M113" i="8"/>
  <c r="L113" i="8"/>
  <c r="M112" i="8"/>
  <c r="L112" i="8"/>
  <c r="M111" i="8"/>
  <c r="L111" i="8"/>
  <c r="M110" i="8"/>
  <c r="L110" i="8"/>
  <c r="M108" i="8"/>
  <c r="L108" i="8"/>
  <c r="M107" i="8"/>
  <c r="L107" i="8"/>
  <c r="M106" i="8"/>
  <c r="L106" i="8"/>
  <c r="M105" i="8"/>
  <c r="M104" i="8"/>
  <c r="L104" i="8"/>
  <c r="M103" i="8"/>
  <c r="L103" i="8"/>
  <c r="M99" i="8"/>
  <c r="L99" i="8"/>
  <c r="M98" i="8"/>
  <c r="L98" i="8"/>
  <c r="M97" i="8"/>
  <c r="L97" i="8"/>
  <c r="M96" i="8"/>
  <c r="L96" i="8"/>
  <c r="K96" i="8" s="1"/>
  <c r="M95" i="8"/>
  <c r="L95" i="8"/>
  <c r="K95" i="8" s="1"/>
  <c r="M93" i="8"/>
  <c r="L93" i="8"/>
  <c r="M92" i="8"/>
  <c r="L92" i="8"/>
  <c r="M91" i="8"/>
  <c r="L91" i="8"/>
  <c r="M82" i="8"/>
  <c r="M81" i="8"/>
  <c r="M80" i="8"/>
  <c r="M79" i="8"/>
  <c r="M78" i="8"/>
  <c r="M77" i="8"/>
  <c r="L77" i="8"/>
  <c r="M76" i="8"/>
  <c r="L76" i="8"/>
  <c r="M75" i="8"/>
  <c r="L75" i="8"/>
  <c r="M74" i="8"/>
  <c r="L74" i="8"/>
  <c r="M73" i="8"/>
  <c r="L73" i="8"/>
  <c r="M72" i="8"/>
  <c r="L72" i="8"/>
  <c r="M71" i="8"/>
  <c r="L71" i="8"/>
  <c r="M70" i="8"/>
  <c r="L70" i="8"/>
  <c r="M64" i="8"/>
  <c r="M63" i="8"/>
  <c r="L63" i="8"/>
  <c r="M62" i="8"/>
  <c r="M58" i="8"/>
  <c r="M57" i="8"/>
  <c r="M56" i="8"/>
  <c r="M55" i="8"/>
  <c r="L55" i="8"/>
  <c r="M54" i="8"/>
  <c r="L54" i="8"/>
  <c r="M53" i="8"/>
  <c r="L53" i="8"/>
  <c r="M52" i="8"/>
  <c r="M51" i="8"/>
  <c r="L51" i="8"/>
  <c r="M50" i="8"/>
  <c r="L50" i="8"/>
  <c r="M45" i="8"/>
  <c r="M42" i="8"/>
  <c r="M41" i="8"/>
  <c r="L41" i="8"/>
  <c r="M40" i="8"/>
  <c r="L40" i="8"/>
  <c r="M39" i="8"/>
  <c r="L39" i="8"/>
  <c r="M38" i="8"/>
  <c r="L38" i="8"/>
  <c r="M37" i="8"/>
  <c r="L37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M25" i="8"/>
  <c r="L25" i="8"/>
  <c r="M24" i="8"/>
  <c r="L24" i="8"/>
  <c r="L18" i="8"/>
  <c r="M18" i="8"/>
  <c r="M19" i="8"/>
  <c r="L20" i="8"/>
  <c r="M20" i="8"/>
  <c r="M21" i="8"/>
  <c r="L8" i="8"/>
  <c r="M8" i="8"/>
  <c r="L9" i="8"/>
  <c r="M9" i="8"/>
  <c r="L10" i="8"/>
  <c r="M10" i="8"/>
  <c r="L11" i="8"/>
  <c r="M11" i="8"/>
  <c r="M12" i="8"/>
  <c r="H55" i="8"/>
  <c r="E55" i="8"/>
  <c r="H11" i="8"/>
  <c r="E11" i="8"/>
  <c r="B11" i="8"/>
  <c r="A11" i="8"/>
  <c r="K11" i="8" l="1"/>
  <c r="K55" i="8"/>
  <c r="F51" i="5"/>
  <c r="D48" i="5"/>
  <c r="D47" i="5"/>
  <c r="D46" i="5"/>
  <c r="D45" i="5"/>
  <c r="D32" i="5"/>
  <c r="D15" i="5"/>
  <c r="D8" i="5"/>
  <c r="D9" i="5"/>
  <c r="D10" i="5"/>
  <c r="D7" i="5"/>
  <c r="N29" i="10" l="1"/>
  <c r="H146" i="8"/>
  <c r="E146" i="8"/>
  <c r="B146" i="8"/>
  <c r="A146" i="8"/>
  <c r="J130" i="8"/>
  <c r="J89" i="8"/>
  <c r="H99" i="8"/>
  <c r="E99" i="8"/>
  <c r="B99" i="8"/>
  <c r="A99" i="8"/>
  <c r="H33" i="8"/>
  <c r="E33" i="8"/>
  <c r="B33" i="8"/>
  <c r="A33" i="8"/>
  <c r="H32" i="8"/>
  <c r="E32" i="8"/>
  <c r="B32" i="8"/>
  <c r="A32" i="8"/>
  <c r="F14" i="4"/>
  <c r="G14" i="4"/>
  <c r="H14" i="4"/>
  <c r="F15" i="4"/>
  <c r="G15" i="4"/>
  <c r="H15" i="4"/>
  <c r="F16" i="4"/>
  <c r="G16" i="4"/>
  <c r="H16" i="4"/>
  <c r="F17" i="4"/>
  <c r="G17" i="4"/>
  <c r="H17" i="4"/>
  <c r="F20" i="4"/>
  <c r="G20" i="4"/>
  <c r="H20" i="4"/>
  <c r="G21" i="4"/>
  <c r="H27" i="4"/>
  <c r="F28" i="4"/>
  <c r="G28" i="4"/>
  <c r="H28" i="4"/>
  <c r="E30" i="4"/>
  <c r="F30" i="4"/>
  <c r="G30" i="4"/>
  <c r="H30" i="4"/>
  <c r="E29" i="6"/>
  <c r="K33" i="8" l="1"/>
  <c r="K99" i="8"/>
  <c r="K146" i="8"/>
  <c r="K32" i="8"/>
  <c r="H111" i="6"/>
  <c r="H112" i="6" s="1"/>
  <c r="F31" i="4" s="1"/>
  <c r="E111" i="6"/>
  <c r="I112" i="6"/>
  <c r="G31" i="4" s="1"/>
  <c r="J112" i="6"/>
  <c r="H31" i="4" s="1"/>
  <c r="M81" i="6"/>
  <c r="L81" i="6"/>
  <c r="E81" i="6"/>
  <c r="M88" i="6"/>
  <c r="L88" i="6"/>
  <c r="E88" i="6"/>
  <c r="M47" i="6"/>
  <c r="L47" i="6"/>
  <c r="E47" i="6"/>
  <c r="F55" i="5"/>
  <c r="C30" i="2"/>
  <c r="C35" i="2"/>
  <c r="C34" i="2"/>
  <c r="C47" i="2"/>
  <c r="F56" i="1"/>
  <c r="F40" i="1"/>
  <c r="C19" i="2" l="1"/>
  <c r="E55" i="5"/>
  <c r="K81" i="6"/>
  <c r="K88" i="6"/>
  <c r="K47" i="6"/>
  <c r="G54" i="5"/>
  <c r="G55" i="5" s="1"/>
  <c r="D71" i="1" l="1"/>
  <c r="D29" i="1"/>
  <c r="H82" i="6" l="1"/>
  <c r="I7" i="2" l="1"/>
  <c r="K180" i="8" l="1"/>
  <c r="E180" i="8"/>
  <c r="B180" i="8"/>
  <c r="A180" i="8"/>
  <c r="H169" i="8"/>
  <c r="E169" i="8"/>
  <c r="B169" i="8"/>
  <c r="A169" i="8"/>
  <c r="E30" i="6"/>
  <c r="K169" i="8" l="1"/>
  <c r="H84" i="6"/>
  <c r="F25" i="4" s="1"/>
  <c r="I84" i="6"/>
  <c r="G25" i="4" s="1"/>
  <c r="J84" i="6"/>
  <c r="H25" i="4" s="1"/>
  <c r="F27" i="5"/>
  <c r="E28" i="5"/>
  <c r="E38" i="8" l="1"/>
  <c r="E39" i="8"/>
  <c r="E40" i="8"/>
  <c r="E41" i="8"/>
  <c r="E42" i="8"/>
  <c r="M135" i="8"/>
  <c r="L135" i="8"/>
  <c r="M132" i="8"/>
  <c r="L132" i="8"/>
  <c r="K132" i="8" l="1"/>
  <c r="K122" i="8"/>
  <c r="K135" i="8"/>
  <c r="K126" i="8"/>
  <c r="K120" i="8"/>
  <c r="K127" i="8"/>
  <c r="K118" i="8"/>
  <c r="K124" i="8"/>
  <c r="K117" i="8"/>
  <c r="K161" i="8"/>
  <c r="K125" i="8"/>
  <c r="K123" i="8"/>
  <c r="K128" i="8"/>
  <c r="K121" i="8"/>
  <c r="K119" i="8"/>
  <c r="J13" i="8"/>
  <c r="J15" i="8" s="1"/>
  <c r="J83" i="8"/>
  <c r="H56" i="8"/>
  <c r="E56" i="8"/>
  <c r="E91" i="6"/>
  <c r="E76" i="6"/>
  <c r="H19" i="4"/>
  <c r="G19" i="4"/>
  <c r="E19" i="4"/>
  <c r="D19" i="4"/>
  <c r="M38" i="6"/>
  <c r="M40" i="6" s="1"/>
  <c r="L38" i="6"/>
  <c r="L40" i="6" s="1"/>
  <c r="H38" i="6"/>
  <c r="E38" i="6"/>
  <c r="H40" i="6" l="1"/>
  <c r="F19" i="4" s="1"/>
  <c r="E40" i="6"/>
  <c r="C19" i="4" s="1"/>
  <c r="K38" i="6"/>
  <c r="K40" i="6" s="1"/>
  <c r="K56" i="8"/>
  <c r="L173" i="8"/>
  <c r="K162" i="8"/>
  <c r="L69" i="8"/>
  <c r="L17" i="8"/>
  <c r="H194" i="8"/>
  <c r="H122" i="8"/>
  <c r="H121" i="8"/>
  <c r="H81" i="8"/>
  <c r="H72" i="8"/>
  <c r="H77" i="8"/>
  <c r="H57" i="8"/>
  <c r="H27" i="8"/>
  <c r="H26" i="8"/>
  <c r="H19" i="8"/>
  <c r="E189" i="8"/>
  <c r="E162" i="8"/>
  <c r="E18" i="8"/>
  <c r="B162" i="8"/>
  <c r="A162" i="8"/>
  <c r="F83" i="8"/>
  <c r="H96" i="8" l="1"/>
  <c r="A96" i="8"/>
  <c r="B96" i="8"/>
  <c r="K20" i="8"/>
  <c r="H20" i="8"/>
  <c r="E20" i="8"/>
  <c r="B20" i="8"/>
  <c r="A20" i="8"/>
  <c r="E26" i="5" l="1"/>
  <c r="H63" i="6" l="1"/>
  <c r="H65" i="6" s="1"/>
  <c r="F22" i="4" s="1"/>
  <c r="E140" i="8"/>
  <c r="E141" i="8"/>
  <c r="E142" i="8"/>
  <c r="E143" i="8"/>
  <c r="E144" i="8"/>
  <c r="E145" i="8"/>
  <c r="E147" i="8"/>
  <c r="E148" i="8"/>
  <c r="E149" i="8"/>
  <c r="E150" i="8"/>
  <c r="E151" i="8"/>
  <c r="E152" i="8"/>
  <c r="E153" i="8"/>
  <c r="E154" i="8"/>
  <c r="E155" i="8"/>
  <c r="E108" i="8"/>
  <c r="E110" i="8"/>
  <c r="E111" i="8"/>
  <c r="E51" i="8"/>
  <c r="E52" i="8"/>
  <c r="E53" i="8"/>
  <c r="E54" i="8"/>
  <c r="E57" i="8"/>
  <c r="E25" i="8"/>
  <c r="E26" i="8"/>
  <c r="E27" i="8"/>
  <c r="E28" i="8"/>
  <c r="E29" i="8"/>
  <c r="E31" i="8"/>
  <c r="E34" i="8"/>
  <c r="E19" i="8"/>
  <c r="E21" i="8"/>
  <c r="H145" i="8"/>
  <c r="H147" i="8"/>
  <c r="H148" i="8"/>
  <c r="H149" i="8"/>
  <c r="H150" i="8"/>
  <c r="H151" i="8"/>
  <c r="H152" i="8"/>
  <c r="H153" i="8"/>
  <c r="H154" i="8"/>
  <c r="H155" i="8"/>
  <c r="H156" i="8"/>
  <c r="H119" i="8"/>
  <c r="H120" i="8"/>
  <c r="H123" i="8"/>
  <c r="H124" i="8"/>
  <c r="H125" i="8"/>
  <c r="H126" i="8"/>
  <c r="H127" i="8"/>
  <c r="H128" i="8"/>
  <c r="H129" i="8"/>
  <c r="H104" i="8"/>
  <c r="H105" i="8"/>
  <c r="H106" i="8"/>
  <c r="H107" i="8"/>
  <c r="H108" i="8"/>
  <c r="H110" i="8"/>
  <c r="H111" i="8"/>
  <c r="H112" i="8"/>
  <c r="H113" i="8"/>
  <c r="H92" i="8"/>
  <c r="H93" i="8"/>
  <c r="H95" i="8"/>
  <c r="H97" i="8"/>
  <c r="H98" i="8"/>
  <c r="H68" i="8"/>
  <c r="H69" i="8"/>
  <c r="H70" i="8"/>
  <c r="H71" i="8"/>
  <c r="H73" i="8"/>
  <c r="H74" i="8"/>
  <c r="H75" i="8"/>
  <c r="H76" i="8"/>
  <c r="H78" i="8"/>
  <c r="H79" i="8"/>
  <c r="H80" i="8"/>
  <c r="H82" i="8"/>
  <c r="H51" i="8"/>
  <c r="H52" i="8"/>
  <c r="H53" i="8"/>
  <c r="H54" i="8"/>
  <c r="H58" i="8"/>
  <c r="H59" i="8"/>
  <c r="H38" i="8"/>
  <c r="H39" i="8"/>
  <c r="H40" i="8"/>
  <c r="H41" i="8"/>
  <c r="H42" i="8"/>
  <c r="H25" i="8"/>
  <c r="H28" i="8"/>
  <c r="H29" i="8"/>
  <c r="H31" i="8"/>
  <c r="H34" i="8"/>
  <c r="H18" i="8"/>
  <c r="H21" i="8"/>
  <c r="H9" i="8"/>
  <c r="H10" i="8"/>
  <c r="H12" i="8"/>
  <c r="L100" i="8"/>
  <c r="M100" i="8"/>
  <c r="L68" i="8"/>
  <c r="M68" i="8"/>
  <c r="M69" i="8"/>
  <c r="K52" i="8"/>
  <c r="L59" i="8"/>
  <c r="M59" i="8"/>
  <c r="K27" i="8"/>
  <c r="K28" i="8"/>
  <c r="K29" i="8"/>
  <c r="A152" i="8"/>
  <c r="B152" i="8"/>
  <c r="B140" i="8"/>
  <c r="A140" i="8"/>
  <c r="I65" i="6"/>
  <c r="J65" i="6"/>
  <c r="H22" i="4" s="1"/>
  <c r="G27" i="5"/>
  <c r="G12" i="5"/>
  <c r="F57" i="1"/>
  <c r="G11" i="5"/>
  <c r="G22" i="4" l="1"/>
  <c r="K57" i="8"/>
  <c r="K26" i="8"/>
  <c r="K10" i="8"/>
  <c r="K93" i="8"/>
  <c r="K144" i="8"/>
  <c r="K106" i="8"/>
  <c r="K104" i="8"/>
  <c r="K140" i="8"/>
  <c r="K19" i="8"/>
  <c r="K53" i="8"/>
  <c r="K75" i="8"/>
  <c r="K73" i="8"/>
  <c r="K113" i="8"/>
  <c r="K129" i="8"/>
  <c r="K8" i="8"/>
  <c r="K42" i="8"/>
  <c r="K40" i="8"/>
  <c r="K71" i="8"/>
  <c r="K69" i="8"/>
  <c r="K100" i="8"/>
  <c r="K153" i="8"/>
  <c r="K151" i="8"/>
  <c r="K149" i="8"/>
  <c r="K142" i="8"/>
  <c r="K31" i="8"/>
  <c r="K51" i="8"/>
  <c r="K81" i="8"/>
  <c r="K80" i="8"/>
  <c r="K78" i="8"/>
  <c r="K111" i="8"/>
  <c r="K105" i="8"/>
  <c r="K12" i="8"/>
  <c r="K39" i="8"/>
  <c r="K59" i="8"/>
  <c r="K77" i="8"/>
  <c r="K68" i="8"/>
  <c r="K98" i="8"/>
  <c r="K112" i="8"/>
  <c r="K156" i="8"/>
  <c r="K150" i="8"/>
  <c r="K148" i="8"/>
  <c r="K145" i="8"/>
  <c r="K141" i="8"/>
  <c r="K18" i="8"/>
  <c r="K34" i="8"/>
  <c r="K25" i="8"/>
  <c r="K41" i="8"/>
  <c r="K54" i="8"/>
  <c r="K79" i="8"/>
  <c r="K72" i="8"/>
  <c r="K70" i="8"/>
  <c r="K97" i="8"/>
  <c r="K110" i="8"/>
  <c r="K108" i="8"/>
  <c r="K154" i="8"/>
  <c r="K152" i="8"/>
  <c r="K147" i="8"/>
  <c r="K9" i="8"/>
  <c r="K21" i="8"/>
  <c r="K38" i="8"/>
  <c r="K58" i="8"/>
  <c r="K82" i="8"/>
  <c r="K76" i="8"/>
  <c r="K74" i="8"/>
  <c r="K92" i="8"/>
  <c r="K107" i="8"/>
  <c r="K155" i="8"/>
  <c r="K143" i="8"/>
  <c r="B31" i="8"/>
  <c r="A31" i="8"/>
  <c r="B18" i="8"/>
  <c r="A18" i="8"/>
  <c r="F12" i="5" l="1"/>
  <c r="F32" i="5"/>
  <c r="F15" i="5"/>
  <c r="F8" i="5"/>
  <c r="F9" i="5"/>
  <c r="F10" i="5"/>
  <c r="F7" i="5"/>
  <c r="Z31" i="10" l="1"/>
  <c r="M88" i="8" l="1"/>
  <c r="L88" i="8"/>
  <c r="M87" i="8"/>
  <c r="L87" i="8"/>
  <c r="M86" i="8"/>
  <c r="L86" i="8"/>
  <c r="M85" i="8"/>
  <c r="L85" i="8"/>
  <c r="M67" i="8"/>
  <c r="L67" i="8"/>
  <c r="M17" i="8"/>
  <c r="E119" i="8"/>
  <c r="E45" i="8"/>
  <c r="E46" i="8" s="1"/>
  <c r="C13" i="7" s="1"/>
  <c r="H50" i="8"/>
  <c r="H64" i="8"/>
  <c r="H63" i="8"/>
  <c r="H62" i="8"/>
  <c r="H67" i="8"/>
  <c r="H91" i="8"/>
  <c r="F46" i="8"/>
  <c r="D13" i="7" s="1"/>
  <c r="G46" i="8"/>
  <c r="E13" i="7" s="1"/>
  <c r="I46" i="8"/>
  <c r="J46" i="8"/>
  <c r="B45" i="8"/>
  <c r="B42" i="8"/>
  <c r="B41" i="8"/>
  <c r="B40" i="8"/>
  <c r="B39" i="8"/>
  <c r="B38" i="8"/>
  <c r="M46" i="8"/>
  <c r="K13" i="7" s="1"/>
  <c r="Y42" i="10" s="1"/>
  <c r="L46" i="8"/>
  <c r="J13" i="7" s="1"/>
  <c r="X42" i="10" s="1"/>
  <c r="H45" i="8"/>
  <c r="H46" i="8" s="1"/>
  <c r="E8" i="8"/>
  <c r="E9" i="8"/>
  <c r="B119" i="8"/>
  <c r="A119" i="8"/>
  <c r="O42" i="10" l="1"/>
  <c r="W42" i="10"/>
  <c r="AA42" i="10"/>
  <c r="P42" i="10"/>
  <c r="AB42" i="10"/>
  <c r="K86" i="8"/>
  <c r="K62" i="8"/>
  <c r="K88" i="8"/>
  <c r="K91" i="8"/>
  <c r="K87" i="8"/>
  <c r="K50" i="8"/>
  <c r="K116" i="8"/>
  <c r="K37" i="8"/>
  <c r="K63" i="8"/>
  <c r="K67" i="8"/>
  <c r="K17" i="8"/>
  <c r="K85" i="8"/>
  <c r="K24" i="8"/>
  <c r="K64" i="8"/>
  <c r="K103" i="8"/>
  <c r="K45" i="8"/>
  <c r="K46" i="8" s="1"/>
  <c r="I13" i="7" s="1"/>
  <c r="L13" i="7" s="1"/>
  <c r="H117" i="8"/>
  <c r="E117" i="8"/>
  <c r="B117" i="8"/>
  <c r="A117" i="8"/>
  <c r="I65" i="8"/>
  <c r="J65" i="8"/>
  <c r="H65" i="8"/>
  <c r="N42" i="10" l="1"/>
  <c r="Z42" i="10"/>
  <c r="M28" i="6"/>
  <c r="L28" i="6"/>
  <c r="E28" i="6"/>
  <c r="D51" i="2"/>
  <c r="D19" i="2" s="1"/>
  <c r="C52" i="2"/>
  <c r="D47" i="2"/>
  <c r="K28" i="6" l="1"/>
  <c r="D18" i="1"/>
  <c r="G47" i="5"/>
  <c r="G48" i="5"/>
  <c r="G49" i="5"/>
  <c r="G50" i="5"/>
  <c r="G46" i="5"/>
  <c r="G45" i="5"/>
  <c r="F48" i="5"/>
  <c r="F47" i="5"/>
  <c r="G30" i="5"/>
  <c r="F30" i="5"/>
  <c r="E29" i="5"/>
  <c r="N5" i="10" l="1"/>
  <c r="J195" i="8" l="1"/>
  <c r="H29" i="7" s="1"/>
  <c r="I195" i="8"/>
  <c r="G29" i="7" s="1"/>
  <c r="G195" i="8"/>
  <c r="E29" i="7" s="1"/>
  <c r="F195" i="8"/>
  <c r="D29" i="7" s="1"/>
  <c r="M194" i="8"/>
  <c r="M195" i="8" s="1"/>
  <c r="K29" i="7" s="1"/>
  <c r="Y34" i="10" s="1"/>
  <c r="L194" i="8"/>
  <c r="L195" i="8" s="1"/>
  <c r="J29" i="7" s="1"/>
  <c r="X34" i="10" s="1"/>
  <c r="H195" i="8"/>
  <c r="F29" i="7" s="1"/>
  <c r="E194" i="8"/>
  <c r="E195" i="8" s="1"/>
  <c r="C29" i="7" s="1"/>
  <c r="B194" i="8"/>
  <c r="A194" i="8"/>
  <c r="J192" i="8"/>
  <c r="H28" i="7" s="1"/>
  <c r="I192" i="8"/>
  <c r="G28" i="7" s="1"/>
  <c r="G192" i="8"/>
  <c r="E28" i="7" s="1"/>
  <c r="F192" i="8"/>
  <c r="D28" i="7" s="1"/>
  <c r="M191" i="8"/>
  <c r="L191" i="8"/>
  <c r="E191" i="8"/>
  <c r="B191" i="8"/>
  <c r="A191" i="8"/>
  <c r="M190" i="8"/>
  <c r="K190" i="8" s="1"/>
  <c r="L190" i="8"/>
  <c r="B190" i="8"/>
  <c r="A190" i="8"/>
  <c r="B189" i="8"/>
  <c r="A189" i="8"/>
  <c r="M188" i="8"/>
  <c r="L188" i="8"/>
  <c r="H188" i="8"/>
  <c r="H192" i="8" s="1"/>
  <c r="F28" i="7" s="1"/>
  <c r="E188" i="8"/>
  <c r="B188" i="8"/>
  <c r="A188" i="8"/>
  <c r="J186" i="8"/>
  <c r="H27" i="7" s="1"/>
  <c r="I186" i="8"/>
  <c r="G27" i="7" s="1"/>
  <c r="G186" i="8"/>
  <c r="E27" i="7" s="1"/>
  <c r="F186" i="8"/>
  <c r="D27" i="7" s="1"/>
  <c r="M185" i="8"/>
  <c r="L185" i="8"/>
  <c r="H185" i="8"/>
  <c r="E185" i="8"/>
  <c r="B185" i="8"/>
  <c r="A185" i="8"/>
  <c r="M184" i="8"/>
  <c r="L184" i="8"/>
  <c r="H184" i="8"/>
  <c r="E184" i="8"/>
  <c r="B184" i="8"/>
  <c r="A184" i="8"/>
  <c r="J182" i="8"/>
  <c r="H26" i="7" s="1"/>
  <c r="I182" i="8"/>
  <c r="G26" i="7" s="1"/>
  <c r="G182" i="8"/>
  <c r="E26" i="7" s="1"/>
  <c r="F182" i="8"/>
  <c r="M181" i="8"/>
  <c r="L181" i="8"/>
  <c r="H181" i="8"/>
  <c r="H182" i="8" s="1"/>
  <c r="F26" i="7" s="1"/>
  <c r="E181" i="8"/>
  <c r="B181" i="8"/>
  <c r="A181" i="8"/>
  <c r="E179" i="8"/>
  <c r="B179" i="8"/>
  <c r="A179" i="8"/>
  <c r="J175" i="8"/>
  <c r="H25" i="7" s="1"/>
  <c r="I175" i="8"/>
  <c r="G25" i="7" s="1"/>
  <c r="G175" i="8"/>
  <c r="E25" i="7" s="1"/>
  <c r="F175" i="8"/>
  <c r="D25" i="7" s="1"/>
  <c r="H174" i="8"/>
  <c r="E174" i="8"/>
  <c r="B174" i="8"/>
  <c r="A174" i="8"/>
  <c r="M173" i="8"/>
  <c r="H173" i="8"/>
  <c r="E173" i="8"/>
  <c r="B173" i="8"/>
  <c r="A173" i="8"/>
  <c r="M172" i="8"/>
  <c r="L172" i="8"/>
  <c r="H172" i="8"/>
  <c r="E172" i="8"/>
  <c r="B172" i="8"/>
  <c r="A172" i="8"/>
  <c r="J170" i="8"/>
  <c r="I170" i="8"/>
  <c r="G24" i="7" s="1"/>
  <c r="G170" i="8"/>
  <c r="F170" i="8"/>
  <c r="D24" i="7" s="1"/>
  <c r="H168" i="8"/>
  <c r="E168" i="8"/>
  <c r="B168" i="8"/>
  <c r="A168" i="8"/>
  <c r="J166" i="8"/>
  <c r="H23" i="7" s="1"/>
  <c r="I166" i="8"/>
  <c r="G23" i="7" s="1"/>
  <c r="G166" i="8"/>
  <c r="E23" i="7" s="1"/>
  <c r="F166" i="8"/>
  <c r="H165" i="8"/>
  <c r="E165" i="8"/>
  <c r="B165" i="8"/>
  <c r="A165" i="8"/>
  <c r="H164" i="8"/>
  <c r="E164" i="8"/>
  <c r="B164" i="8"/>
  <c r="A164" i="8"/>
  <c r="K163" i="8"/>
  <c r="H163" i="8"/>
  <c r="E163" i="8"/>
  <c r="B163" i="8"/>
  <c r="A163" i="8"/>
  <c r="H161" i="8"/>
  <c r="E161" i="8"/>
  <c r="B161" i="8"/>
  <c r="A161" i="8"/>
  <c r="J157" i="8"/>
  <c r="J159" i="8" s="1"/>
  <c r="I157" i="8"/>
  <c r="G157" i="8"/>
  <c r="F157" i="8"/>
  <c r="E156" i="8"/>
  <c r="B156" i="8"/>
  <c r="A156" i="8"/>
  <c r="B155" i="8"/>
  <c r="A155" i="8"/>
  <c r="B154" i="8"/>
  <c r="A154" i="8"/>
  <c r="B153" i="8"/>
  <c r="A153" i="8"/>
  <c r="B151" i="8"/>
  <c r="A151" i="8"/>
  <c r="B150" i="8"/>
  <c r="A150" i="8"/>
  <c r="B149" i="8"/>
  <c r="A149" i="8"/>
  <c r="B148" i="8"/>
  <c r="A148" i="8"/>
  <c r="B147" i="8"/>
  <c r="A147" i="8"/>
  <c r="B145" i="8"/>
  <c r="A145" i="8"/>
  <c r="H144" i="8"/>
  <c r="B144" i="8"/>
  <c r="A144" i="8"/>
  <c r="B143" i="8"/>
  <c r="A143" i="8"/>
  <c r="H142" i="8"/>
  <c r="B142" i="8"/>
  <c r="A142" i="8"/>
  <c r="B141" i="8"/>
  <c r="A141" i="8"/>
  <c r="J136" i="8"/>
  <c r="H21" i="7" s="1"/>
  <c r="I136" i="8"/>
  <c r="G21" i="7" s="1"/>
  <c r="G136" i="8"/>
  <c r="E21" i="7" s="1"/>
  <c r="F136" i="8"/>
  <c r="D21" i="7" s="1"/>
  <c r="M136" i="8"/>
  <c r="K21" i="7" s="1"/>
  <c r="Y37" i="10" s="1"/>
  <c r="L136" i="8"/>
  <c r="J21" i="7" s="1"/>
  <c r="X37" i="10" s="1"/>
  <c r="H135" i="8"/>
  <c r="H136" i="8" s="1"/>
  <c r="F21" i="7" s="1"/>
  <c r="E135" i="8"/>
  <c r="E136" i="8" s="1"/>
  <c r="C21" i="7" s="1"/>
  <c r="B135" i="8"/>
  <c r="A135" i="8"/>
  <c r="J133" i="8"/>
  <c r="I133" i="8"/>
  <c r="G133" i="8"/>
  <c r="F133" i="8"/>
  <c r="L133" i="8"/>
  <c r="H132" i="8"/>
  <c r="H133" i="8" s="1"/>
  <c r="E132" i="8"/>
  <c r="E133" i="8" s="1"/>
  <c r="B132" i="8"/>
  <c r="A132" i="8"/>
  <c r="I130" i="8"/>
  <c r="G130" i="8"/>
  <c r="F130" i="8"/>
  <c r="D19" i="7" s="1"/>
  <c r="E129" i="8"/>
  <c r="B129" i="8"/>
  <c r="A129" i="8"/>
  <c r="E128" i="8"/>
  <c r="B128" i="8"/>
  <c r="A128" i="8"/>
  <c r="E127" i="8"/>
  <c r="B127" i="8"/>
  <c r="A127" i="8"/>
  <c r="E126" i="8"/>
  <c r="B126" i="8"/>
  <c r="A126" i="8"/>
  <c r="E125" i="8"/>
  <c r="B125" i="8"/>
  <c r="A125" i="8"/>
  <c r="E124" i="8"/>
  <c r="B124" i="8"/>
  <c r="A124" i="8"/>
  <c r="E123" i="8"/>
  <c r="B123" i="8"/>
  <c r="A123" i="8"/>
  <c r="E122" i="8"/>
  <c r="B122" i="8"/>
  <c r="A122" i="8"/>
  <c r="E121" i="8"/>
  <c r="B121" i="8"/>
  <c r="A121" i="8"/>
  <c r="E120" i="8"/>
  <c r="B120" i="8"/>
  <c r="A120" i="8"/>
  <c r="H118" i="8"/>
  <c r="E118" i="8"/>
  <c r="B118" i="8"/>
  <c r="A118" i="8"/>
  <c r="H116" i="8"/>
  <c r="E116" i="8"/>
  <c r="B116" i="8"/>
  <c r="A116" i="8"/>
  <c r="J114" i="8"/>
  <c r="H18" i="7" s="1"/>
  <c r="I114" i="8"/>
  <c r="G18" i="7" s="1"/>
  <c r="G114" i="8"/>
  <c r="E18" i="7" s="1"/>
  <c r="F114" i="8"/>
  <c r="D18" i="7" s="1"/>
  <c r="E113" i="8"/>
  <c r="B113" i="8"/>
  <c r="A113" i="8"/>
  <c r="E112" i="8"/>
  <c r="B112" i="8"/>
  <c r="A112" i="8"/>
  <c r="B111" i="8"/>
  <c r="A111" i="8"/>
  <c r="B110" i="8"/>
  <c r="A110" i="8"/>
  <c r="B108" i="8"/>
  <c r="A108" i="8"/>
  <c r="E107" i="8"/>
  <c r="B107" i="8"/>
  <c r="A107" i="8"/>
  <c r="E106" i="8"/>
  <c r="B106" i="8"/>
  <c r="A106" i="8"/>
  <c r="E105" i="8"/>
  <c r="B105" i="8"/>
  <c r="A105" i="8"/>
  <c r="E104" i="8"/>
  <c r="B104" i="8"/>
  <c r="A104" i="8"/>
  <c r="H103" i="8"/>
  <c r="E103" i="8"/>
  <c r="B103" i="8"/>
  <c r="A103" i="8"/>
  <c r="J101" i="8"/>
  <c r="H17" i="7" s="1"/>
  <c r="I101" i="8"/>
  <c r="G101" i="8"/>
  <c r="E17" i="7" s="1"/>
  <c r="F101" i="8"/>
  <c r="D17" i="7" s="1"/>
  <c r="H100" i="8"/>
  <c r="E100" i="8"/>
  <c r="B100" i="8"/>
  <c r="A100" i="8"/>
  <c r="E98" i="8"/>
  <c r="B98" i="8"/>
  <c r="A98" i="8"/>
  <c r="B97" i="8"/>
  <c r="A97" i="8"/>
  <c r="B95" i="8"/>
  <c r="A95" i="8"/>
  <c r="E93" i="8"/>
  <c r="B93" i="8"/>
  <c r="A93" i="8"/>
  <c r="E92" i="8"/>
  <c r="B92" i="8"/>
  <c r="A92" i="8"/>
  <c r="E91" i="8"/>
  <c r="B91" i="8"/>
  <c r="A91" i="8"/>
  <c r="H16" i="7"/>
  <c r="I89" i="8"/>
  <c r="G16" i="7" s="1"/>
  <c r="G89" i="8"/>
  <c r="E16" i="7" s="1"/>
  <c r="F89" i="8"/>
  <c r="D16" i="7" s="1"/>
  <c r="H88" i="8"/>
  <c r="E88" i="8"/>
  <c r="B88" i="8"/>
  <c r="A88" i="8"/>
  <c r="H87" i="8"/>
  <c r="E87" i="8"/>
  <c r="B87" i="8"/>
  <c r="A87" i="8"/>
  <c r="H86" i="8"/>
  <c r="E86" i="8"/>
  <c r="B86" i="8"/>
  <c r="A86" i="8"/>
  <c r="H85" i="8"/>
  <c r="E85" i="8"/>
  <c r="H15" i="7"/>
  <c r="I83" i="8"/>
  <c r="G15" i="7" s="1"/>
  <c r="G83" i="8"/>
  <c r="E15" i="7" s="1"/>
  <c r="D15" i="7"/>
  <c r="E82" i="8"/>
  <c r="B82" i="8"/>
  <c r="A82" i="8"/>
  <c r="E81" i="8"/>
  <c r="B81" i="8"/>
  <c r="A81" i="8"/>
  <c r="E80" i="8"/>
  <c r="B80" i="8"/>
  <c r="A80" i="8"/>
  <c r="E79" i="8"/>
  <c r="B79" i="8"/>
  <c r="A79" i="8"/>
  <c r="E78" i="8"/>
  <c r="B78" i="8"/>
  <c r="A78" i="8"/>
  <c r="E77" i="8"/>
  <c r="B77" i="8"/>
  <c r="A77" i="8"/>
  <c r="E76" i="8"/>
  <c r="B76" i="8"/>
  <c r="A76" i="8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E69" i="8"/>
  <c r="B69" i="8"/>
  <c r="A69" i="8"/>
  <c r="E68" i="8"/>
  <c r="B68" i="8"/>
  <c r="A68" i="8"/>
  <c r="E67" i="8"/>
  <c r="B67" i="8"/>
  <c r="A67" i="8"/>
  <c r="G65" i="8"/>
  <c r="F65" i="8"/>
  <c r="E64" i="8"/>
  <c r="A64" i="8"/>
  <c r="E63" i="8"/>
  <c r="A63" i="8"/>
  <c r="E62" i="8"/>
  <c r="A62" i="8"/>
  <c r="J60" i="8"/>
  <c r="I60" i="8"/>
  <c r="G14" i="7" s="1"/>
  <c r="G60" i="8"/>
  <c r="F60" i="8"/>
  <c r="E59" i="8"/>
  <c r="B59" i="8"/>
  <c r="A59" i="8"/>
  <c r="E58" i="8"/>
  <c r="B51" i="8"/>
  <c r="A51" i="8"/>
  <c r="E50" i="8"/>
  <c r="J43" i="8"/>
  <c r="H12" i="7" s="1"/>
  <c r="I43" i="8"/>
  <c r="G12" i="7" s="1"/>
  <c r="G43" i="8"/>
  <c r="F43" i="8"/>
  <c r="D12" i="7" s="1"/>
  <c r="A41" i="8"/>
  <c r="A38" i="8"/>
  <c r="H37" i="8"/>
  <c r="E37" i="8"/>
  <c r="B37" i="8"/>
  <c r="A37" i="8"/>
  <c r="J35" i="8"/>
  <c r="I35" i="8"/>
  <c r="G11" i="7" s="1"/>
  <c r="G35" i="8"/>
  <c r="E11" i="7" s="1"/>
  <c r="F35" i="8"/>
  <c r="D11" i="7" s="1"/>
  <c r="B29" i="8"/>
  <c r="A29" i="8"/>
  <c r="B28" i="8"/>
  <c r="A28" i="8"/>
  <c r="B27" i="8"/>
  <c r="A27" i="8"/>
  <c r="H24" i="8"/>
  <c r="E24" i="8"/>
  <c r="B24" i="8"/>
  <c r="A24" i="8"/>
  <c r="J22" i="8"/>
  <c r="I22" i="8"/>
  <c r="G22" i="8"/>
  <c r="F22" i="8"/>
  <c r="B21" i="8"/>
  <c r="A21" i="8"/>
  <c r="B19" i="8"/>
  <c r="A19" i="8"/>
  <c r="H17" i="8"/>
  <c r="E17" i="8"/>
  <c r="B17" i="8"/>
  <c r="A17" i="8"/>
  <c r="H9" i="7"/>
  <c r="I13" i="8"/>
  <c r="G13" i="8"/>
  <c r="F13" i="8"/>
  <c r="F15" i="8" s="1"/>
  <c r="E12" i="8"/>
  <c r="B12" i="8"/>
  <c r="A12" i="8"/>
  <c r="E10" i="8"/>
  <c r="B10" i="8"/>
  <c r="A10" i="8"/>
  <c r="B9" i="8"/>
  <c r="A9" i="8"/>
  <c r="H8" i="8"/>
  <c r="B8" i="8"/>
  <c r="A8" i="8"/>
  <c r="M7" i="8"/>
  <c r="H7" i="8"/>
  <c r="E7" i="8"/>
  <c r="B7" i="8"/>
  <c r="A7" i="8"/>
  <c r="M30" i="7"/>
  <c r="H20" i="7"/>
  <c r="G20" i="7"/>
  <c r="E20" i="7"/>
  <c r="D20" i="7"/>
  <c r="G112" i="6"/>
  <c r="E31" i="4" s="1"/>
  <c r="F112" i="6"/>
  <c r="D31" i="4" s="1"/>
  <c r="M111" i="6"/>
  <c r="M112" i="6" s="1"/>
  <c r="L111" i="6"/>
  <c r="L112" i="6" s="1"/>
  <c r="E112" i="6"/>
  <c r="C31" i="4" s="1"/>
  <c r="F109" i="6"/>
  <c r="D30" i="4" s="1"/>
  <c r="M108" i="6"/>
  <c r="L108" i="6"/>
  <c r="E108" i="6"/>
  <c r="E109" i="6" s="1"/>
  <c r="C30" i="4" s="1"/>
  <c r="J106" i="6"/>
  <c r="I106" i="6"/>
  <c r="G106" i="6"/>
  <c r="E29" i="4" s="1"/>
  <c r="F106" i="6"/>
  <c r="D29" i="4" s="1"/>
  <c r="M105" i="6"/>
  <c r="M106" i="6" s="1"/>
  <c r="L105" i="6"/>
  <c r="L106" i="6" s="1"/>
  <c r="H105" i="6"/>
  <c r="E105" i="6"/>
  <c r="E106" i="6" s="1"/>
  <c r="J103" i="6"/>
  <c r="G101" i="6"/>
  <c r="E28" i="4" s="1"/>
  <c r="F101" i="6"/>
  <c r="D28" i="4" s="1"/>
  <c r="M100" i="6"/>
  <c r="M101" i="6" s="1"/>
  <c r="L100" i="6"/>
  <c r="L101" i="6" s="1"/>
  <c r="E100" i="6"/>
  <c r="E101" i="6" s="1"/>
  <c r="C28" i="4" s="1"/>
  <c r="I98" i="6"/>
  <c r="G98" i="6"/>
  <c r="E27" i="4" s="1"/>
  <c r="F98" i="6"/>
  <c r="D27" i="4" s="1"/>
  <c r="M97" i="6"/>
  <c r="M98" i="6" s="1"/>
  <c r="L97" i="6"/>
  <c r="L98" i="6" s="1"/>
  <c r="H97" i="6"/>
  <c r="E97" i="6"/>
  <c r="E98" i="6" s="1"/>
  <c r="J93" i="6"/>
  <c r="H26" i="4" s="1"/>
  <c r="I93" i="6"/>
  <c r="G26" i="4" s="1"/>
  <c r="G93" i="6"/>
  <c r="F93" i="6"/>
  <c r="D26" i="4" s="1"/>
  <c r="M92" i="6"/>
  <c r="L92" i="6"/>
  <c r="E92" i="6"/>
  <c r="M90" i="6"/>
  <c r="L90" i="6"/>
  <c r="E90" i="6"/>
  <c r="M89" i="6"/>
  <c r="L89" i="6"/>
  <c r="E89" i="6"/>
  <c r="H93" i="6"/>
  <c r="F26" i="4" s="1"/>
  <c r="G84" i="6"/>
  <c r="E25" i="4" s="1"/>
  <c r="F84" i="6"/>
  <c r="D25" i="4" s="1"/>
  <c r="M83" i="6"/>
  <c r="L83" i="6"/>
  <c r="E83" i="6"/>
  <c r="M82" i="6"/>
  <c r="L82" i="6"/>
  <c r="E82" i="6"/>
  <c r="J79" i="6"/>
  <c r="H24" i="4" s="1"/>
  <c r="I79" i="6"/>
  <c r="G24" i="4" s="1"/>
  <c r="G79" i="6"/>
  <c r="E24" i="4" s="1"/>
  <c r="F79" i="6"/>
  <c r="D24" i="4" s="1"/>
  <c r="M78" i="6"/>
  <c r="L78" i="6"/>
  <c r="E78" i="6"/>
  <c r="M77" i="6"/>
  <c r="L77" i="6"/>
  <c r="H77" i="6"/>
  <c r="E77" i="6"/>
  <c r="M75" i="6"/>
  <c r="L75" i="6"/>
  <c r="E75" i="6"/>
  <c r="M74" i="6"/>
  <c r="L74" i="6"/>
  <c r="E74" i="6"/>
  <c r="M73" i="6"/>
  <c r="L73" i="6"/>
  <c r="E73" i="6"/>
  <c r="M72" i="6"/>
  <c r="L72" i="6"/>
  <c r="H72" i="6"/>
  <c r="E72" i="6"/>
  <c r="M71" i="6"/>
  <c r="L71" i="6"/>
  <c r="H71" i="6"/>
  <c r="E71" i="6"/>
  <c r="J69" i="6"/>
  <c r="H23" i="4" s="1"/>
  <c r="I69" i="6"/>
  <c r="I86" i="6" s="1"/>
  <c r="H69" i="6"/>
  <c r="F23" i="4" s="1"/>
  <c r="G69" i="6"/>
  <c r="E23" i="4" s="1"/>
  <c r="F69" i="6"/>
  <c r="D23" i="4" s="1"/>
  <c r="M68" i="6"/>
  <c r="L68" i="6"/>
  <c r="E68" i="6"/>
  <c r="M67" i="6"/>
  <c r="L67" i="6"/>
  <c r="E67" i="6"/>
  <c r="G65" i="6"/>
  <c r="E22" i="4" s="1"/>
  <c r="F65" i="6"/>
  <c r="D22" i="4" s="1"/>
  <c r="M64" i="6"/>
  <c r="L64" i="6"/>
  <c r="E64" i="6"/>
  <c r="M63" i="6"/>
  <c r="L63" i="6"/>
  <c r="E63" i="6"/>
  <c r="J61" i="6"/>
  <c r="G61" i="6"/>
  <c r="E21" i="4" s="1"/>
  <c r="F61" i="6"/>
  <c r="D21" i="4" s="1"/>
  <c r="M60" i="6"/>
  <c r="L60" i="6"/>
  <c r="E60" i="6"/>
  <c r="M59" i="6"/>
  <c r="L59" i="6"/>
  <c r="E59" i="6"/>
  <c r="M58" i="6"/>
  <c r="L58" i="6"/>
  <c r="E58" i="6"/>
  <c r="M57" i="6"/>
  <c r="L57" i="6"/>
  <c r="E57" i="6"/>
  <c r="M56" i="6"/>
  <c r="L56" i="6"/>
  <c r="H56" i="6"/>
  <c r="E56" i="6"/>
  <c r="M55" i="6"/>
  <c r="L55" i="6"/>
  <c r="E55" i="6"/>
  <c r="M54" i="6"/>
  <c r="L54" i="6"/>
  <c r="E54" i="6"/>
  <c r="M53" i="6"/>
  <c r="L53" i="6"/>
  <c r="E53" i="6"/>
  <c r="M52" i="6"/>
  <c r="L52" i="6"/>
  <c r="E52" i="6"/>
  <c r="M51" i="6"/>
  <c r="L51" i="6"/>
  <c r="E51" i="6"/>
  <c r="G49" i="6"/>
  <c r="F49" i="6"/>
  <c r="M48" i="6"/>
  <c r="L48" i="6"/>
  <c r="E48" i="6"/>
  <c r="M46" i="6"/>
  <c r="L46" i="6"/>
  <c r="E46" i="6"/>
  <c r="M45" i="6"/>
  <c r="L45" i="6"/>
  <c r="E45" i="6"/>
  <c r="M44" i="6"/>
  <c r="L44" i="6"/>
  <c r="E44" i="6"/>
  <c r="E18" i="4"/>
  <c r="D18" i="4"/>
  <c r="M35" i="6"/>
  <c r="M36" i="6" s="1"/>
  <c r="L35" i="6"/>
  <c r="H35" i="6"/>
  <c r="E35" i="6"/>
  <c r="M33" i="6"/>
  <c r="G32" i="6"/>
  <c r="E17" i="4" s="1"/>
  <c r="F32" i="6"/>
  <c r="D17" i="4" s="1"/>
  <c r="M31" i="6"/>
  <c r="L31" i="6"/>
  <c r="E31" i="6"/>
  <c r="M27" i="6"/>
  <c r="L27" i="6"/>
  <c r="E27" i="6"/>
  <c r="G25" i="6"/>
  <c r="E16" i="4" s="1"/>
  <c r="F25" i="6"/>
  <c r="D16" i="4" s="1"/>
  <c r="M24" i="6"/>
  <c r="L24" i="6"/>
  <c r="E24" i="6"/>
  <c r="M23" i="6"/>
  <c r="L23" i="6"/>
  <c r="E23" i="6"/>
  <c r="M22" i="6"/>
  <c r="L22" i="6"/>
  <c r="E22" i="6"/>
  <c r="M21" i="6"/>
  <c r="L21" i="6"/>
  <c r="E21" i="6"/>
  <c r="G17" i="6"/>
  <c r="E15" i="4" s="1"/>
  <c r="F17" i="6"/>
  <c r="M16" i="6"/>
  <c r="L16" i="6"/>
  <c r="E16" i="6"/>
  <c r="M15" i="6"/>
  <c r="L15" i="6"/>
  <c r="E15" i="6"/>
  <c r="M13" i="6"/>
  <c r="L13" i="6"/>
  <c r="E13" i="6"/>
  <c r="M12" i="6"/>
  <c r="L12" i="6"/>
  <c r="E12" i="6"/>
  <c r="M11" i="6"/>
  <c r="L11" i="6"/>
  <c r="E11" i="6"/>
  <c r="G9" i="6"/>
  <c r="E14" i="4" s="1"/>
  <c r="F9" i="6"/>
  <c r="D14" i="4" s="1"/>
  <c r="M8" i="6"/>
  <c r="M9" i="6" s="1"/>
  <c r="L8" i="6"/>
  <c r="E8" i="6"/>
  <c r="E9" i="6" s="1"/>
  <c r="C14" i="4" s="1"/>
  <c r="E46" i="5"/>
  <c r="F33" i="5"/>
  <c r="E33" i="5" s="1"/>
  <c r="E32" i="5"/>
  <c r="E25" i="5"/>
  <c r="E23" i="5"/>
  <c r="E22" i="5"/>
  <c r="E21" i="5"/>
  <c r="E20" i="5"/>
  <c r="E24" i="5"/>
  <c r="E19" i="5"/>
  <c r="E18" i="5"/>
  <c r="E10" i="5"/>
  <c r="E9" i="5"/>
  <c r="E8" i="5"/>
  <c r="D76" i="1"/>
  <c r="D67" i="1"/>
  <c r="D43" i="1"/>
  <c r="C18" i="2"/>
  <c r="D53" i="2"/>
  <c r="D48" i="2"/>
  <c r="C48" i="2"/>
  <c r="C31" i="2"/>
  <c r="D20" i="2"/>
  <c r="D14" i="2"/>
  <c r="D15" i="2" s="1"/>
  <c r="C14" i="2"/>
  <c r="F74" i="1"/>
  <c r="F82" i="1" s="1"/>
  <c r="E74" i="1"/>
  <c r="E82" i="1" s="1"/>
  <c r="D73" i="1"/>
  <c r="D72" i="1"/>
  <c r="D70" i="1"/>
  <c r="F64" i="1"/>
  <c r="E64" i="1"/>
  <c r="D61" i="1"/>
  <c r="F60" i="1"/>
  <c r="D58" i="1"/>
  <c r="D57" i="1"/>
  <c r="D53" i="1"/>
  <c r="D52" i="1"/>
  <c r="D51" i="1"/>
  <c r="D50" i="1"/>
  <c r="D49" i="1"/>
  <c r="D48" i="1"/>
  <c r="D47" i="1"/>
  <c r="D46" i="1"/>
  <c r="D35" i="1"/>
  <c r="D34" i="1"/>
  <c r="D33" i="1"/>
  <c r="F30" i="1"/>
  <c r="E30" i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H36" i="6" l="1"/>
  <c r="F18" i="4" s="1"/>
  <c r="E36" i="6"/>
  <c r="C18" i="4" s="1"/>
  <c r="O37" i="10"/>
  <c r="W37" i="10"/>
  <c r="AA37" i="10"/>
  <c r="P37" i="10"/>
  <c r="AB37" i="10"/>
  <c r="O34" i="10"/>
  <c r="W34" i="10"/>
  <c r="AA34" i="10"/>
  <c r="P34" i="10"/>
  <c r="AB34" i="10"/>
  <c r="J86" i="6"/>
  <c r="G86" i="6"/>
  <c r="F86" i="6"/>
  <c r="I103" i="6"/>
  <c r="H103" i="6" s="1"/>
  <c r="G27" i="4"/>
  <c r="E20" i="4"/>
  <c r="G23" i="4"/>
  <c r="J114" i="6"/>
  <c r="H29" i="4"/>
  <c r="D20" i="4"/>
  <c r="I114" i="6"/>
  <c r="G29" i="4"/>
  <c r="I42" i="6"/>
  <c r="G18" i="4"/>
  <c r="F19" i="6"/>
  <c r="D15" i="4"/>
  <c r="J42" i="6"/>
  <c r="H18" i="4"/>
  <c r="H61" i="6"/>
  <c r="F21" i="4" s="1"/>
  <c r="H21" i="4"/>
  <c r="G95" i="6"/>
  <c r="E26" i="4"/>
  <c r="K89" i="6"/>
  <c r="K73" i="6"/>
  <c r="K27" i="6"/>
  <c r="I95" i="6"/>
  <c r="J95" i="6"/>
  <c r="G42" i="6"/>
  <c r="M32" i="6"/>
  <c r="D54" i="2"/>
  <c r="G138" i="8"/>
  <c r="F138" i="8"/>
  <c r="F42" i="6"/>
  <c r="K82" i="6"/>
  <c r="K71" i="6"/>
  <c r="K24" i="6"/>
  <c r="E32" i="6"/>
  <c r="C17" i="4" s="1"/>
  <c r="K48" i="6"/>
  <c r="H106" i="6"/>
  <c r="I48" i="8"/>
  <c r="D30" i="1"/>
  <c r="L69" i="6"/>
  <c r="K68" i="6"/>
  <c r="E103" i="6"/>
  <c r="M114" i="6"/>
  <c r="K54" i="6"/>
  <c r="M69" i="6"/>
  <c r="M84" i="6"/>
  <c r="K21" i="6"/>
  <c r="K44" i="6"/>
  <c r="K52" i="6"/>
  <c r="K83" i="6"/>
  <c r="K92" i="6"/>
  <c r="L103" i="6"/>
  <c r="G114" i="6"/>
  <c r="K105" i="6"/>
  <c r="K106" i="6" s="1"/>
  <c r="C27" i="4"/>
  <c r="K51" i="6"/>
  <c r="K55" i="6"/>
  <c r="K60" i="6"/>
  <c r="K64" i="6"/>
  <c r="K77" i="6"/>
  <c r="K111" i="6"/>
  <c r="K112" i="6" s="1"/>
  <c r="D12" i="1"/>
  <c r="D20" i="1" s="1"/>
  <c r="D74" i="1"/>
  <c r="D82" i="1" s="1"/>
  <c r="H10" i="7"/>
  <c r="J48" i="8"/>
  <c r="D10" i="7"/>
  <c r="F48" i="8"/>
  <c r="K185" i="8"/>
  <c r="G48" i="8"/>
  <c r="E12" i="7"/>
  <c r="M182" i="8"/>
  <c r="K26" i="7" s="1"/>
  <c r="Y22" i="10" s="1"/>
  <c r="K189" i="8"/>
  <c r="F20" i="7"/>
  <c r="D22" i="7"/>
  <c r="F159" i="8"/>
  <c r="E22" i="7"/>
  <c r="G159" i="8"/>
  <c r="H22" i="7"/>
  <c r="G22" i="7"/>
  <c r="I159" i="8"/>
  <c r="K164" i="8"/>
  <c r="K181" i="8"/>
  <c r="K165" i="8"/>
  <c r="K174" i="8"/>
  <c r="M192" i="8"/>
  <c r="K28" i="7" s="1"/>
  <c r="Y31" i="10" s="1"/>
  <c r="H186" i="8"/>
  <c r="H197" i="8" s="1"/>
  <c r="E192" i="8"/>
  <c r="C28" i="7" s="1"/>
  <c r="E13" i="8"/>
  <c r="C9" i="7" s="1"/>
  <c r="K184" i="8"/>
  <c r="H14" i="7"/>
  <c r="J138" i="8"/>
  <c r="K100" i="6"/>
  <c r="K101" i="6" s="1"/>
  <c r="K97" i="6"/>
  <c r="K98" i="6" s="1"/>
  <c r="K90" i="6"/>
  <c r="M93" i="6"/>
  <c r="M95" i="6" s="1"/>
  <c r="L49" i="6"/>
  <c r="K59" i="6"/>
  <c r="K58" i="6"/>
  <c r="L65" i="6"/>
  <c r="L84" i="6"/>
  <c r="E93" i="6"/>
  <c r="C26" i="4" s="1"/>
  <c r="K23" i="6"/>
  <c r="K53" i="6"/>
  <c r="K57" i="6"/>
  <c r="E69" i="6"/>
  <c r="C23" i="4" s="1"/>
  <c r="K75" i="6"/>
  <c r="K78" i="6"/>
  <c r="L93" i="6"/>
  <c r="L95" i="6" s="1"/>
  <c r="E84" i="6"/>
  <c r="C25" i="4" s="1"/>
  <c r="K72" i="6"/>
  <c r="M61" i="6"/>
  <c r="K45" i="6"/>
  <c r="K13" i="6"/>
  <c r="F65" i="1"/>
  <c r="F80" i="1" s="1"/>
  <c r="F31" i="1"/>
  <c r="F41" i="1" s="1"/>
  <c r="F79" i="1" s="1"/>
  <c r="C20" i="7"/>
  <c r="G19" i="7"/>
  <c r="I138" i="8"/>
  <c r="D9" i="7"/>
  <c r="L186" i="8"/>
  <c r="J27" i="7" s="1"/>
  <c r="X39" i="10" s="1"/>
  <c r="I177" i="8"/>
  <c r="E114" i="8"/>
  <c r="C18" i="7" s="1"/>
  <c r="K179" i="8"/>
  <c r="M60" i="8"/>
  <c r="M65" i="8"/>
  <c r="D14" i="7"/>
  <c r="H89" i="8"/>
  <c r="F16" i="7" s="1"/>
  <c r="K136" i="8"/>
  <c r="I21" i="7" s="1"/>
  <c r="L21" i="7" s="1"/>
  <c r="K172" i="8"/>
  <c r="K194" i="8"/>
  <c r="K195" i="8" s="1"/>
  <c r="I29" i="7" s="1"/>
  <c r="L29" i="7" s="1"/>
  <c r="M157" i="8"/>
  <c r="H170" i="8"/>
  <c r="F24" i="7" s="1"/>
  <c r="K7" i="8"/>
  <c r="G10" i="7"/>
  <c r="E114" i="6"/>
  <c r="C29" i="4"/>
  <c r="F95" i="6"/>
  <c r="K67" i="6"/>
  <c r="E65" i="6"/>
  <c r="C22" i="4" s="1"/>
  <c r="K56" i="6"/>
  <c r="L61" i="6"/>
  <c r="L32" i="6"/>
  <c r="K31" i="6"/>
  <c r="K16" i="6"/>
  <c r="E61" i="6"/>
  <c r="C21" i="4" s="1"/>
  <c r="K15" i="6"/>
  <c r="E25" i="6"/>
  <c r="E49" i="6"/>
  <c r="E17" i="6"/>
  <c r="E19" i="6" s="1"/>
  <c r="H98" i="6"/>
  <c r="F27" i="4" s="1"/>
  <c r="H79" i="6"/>
  <c r="F24" i="4" s="1"/>
  <c r="H42" i="6"/>
  <c r="C20" i="2"/>
  <c r="D27" i="1"/>
  <c r="E31" i="1"/>
  <c r="I15" i="8"/>
  <c r="G9" i="7"/>
  <c r="M133" i="8"/>
  <c r="K20" i="7"/>
  <c r="Y38" i="10" s="1"/>
  <c r="L170" i="8"/>
  <c r="J24" i="7" s="1"/>
  <c r="X30" i="10" s="1"/>
  <c r="G17" i="7"/>
  <c r="H13" i="8"/>
  <c r="E83" i="8"/>
  <c r="C15" i="7" s="1"/>
  <c r="H101" i="8"/>
  <c r="F17" i="7" s="1"/>
  <c r="G177" i="8"/>
  <c r="E24" i="7"/>
  <c r="I197" i="8"/>
  <c r="G15" i="8"/>
  <c r="E9" i="7"/>
  <c r="K173" i="8"/>
  <c r="L192" i="8"/>
  <c r="J28" i="7" s="1"/>
  <c r="X31" i="10" s="1"/>
  <c r="K191" i="8"/>
  <c r="E22" i="8"/>
  <c r="L22" i="8"/>
  <c r="E35" i="8"/>
  <c r="C11" i="7" s="1"/>
  <c r="H43" i="8"/>
  <c r="F12" i="7" s="1"/>
  <c r="E14" i="7"/>
  <c r="E65" i="8"/>
  <c r="E101" i="8"/>
  <c r="C17" i="7" s="1"/>
  <c r="H130" i="8"/>
  <c r="E166" i="8"/>
  <c r="C23" i="7" s="1"/>
  <c r="H22" i="8"/>
  <c r="H35" i="8"/>
  <c r="F11" i="7" s="1"/>
  <c r="H166" i="8"/>
  <c r="F23" i="7" s="1"/>
  <c r="M166" i="8"/>
  <c r="K23" i="7" s="1"/>
  <c r="Y41" i="10" s="1"/>
  <c r="E170" i="8"/>
  <c r="C24" i="7" s="1"/>
  <c r="M175" i="8"/>
  <c r="K25" i="7" s="1"/>
  <c r="Y36" i="10" s="1"/>
  <c r="H175" i="8"/>
  <c r="F25" i="7" s="1"/>
  <c r="L182" i="8"/>
  <c r="J26" i="7" s="1"/>
  <c r="X22" i="10" s="1"/>
  <c r="E186" i="8"/>
  <c r="C27" i="7" s="1"/>
  <c r="M186" i="8"/>
  <c r="K27" i="7" s="1"/>
  <c r="Y39" i="10" s="1"/>
  <c r="E47" i="5"/>
  <c r="E12" i="5"/>
  <c r="E48" i="5"/>
  <c r="E11" i="5"/>
  <c r="G13" i="5"/>
  <c r="G35" i="5" s="1"/>
  <c r="E5" i="4" s="1"/>
  <c r="E30" i="5"/>
  <c r="E27" i="5"/>
  <c r="K8" i="6"/>
  <c r="K9" i="6" s="1"/>
  <c r="L9" i="6"/>
  <c r="M103" i="6"/>
  <c r="L109" i="6"/>
  <c r="L114" i="6" s="1"/>
  <c r="K108" i="6"/>
  <c r="K109" i="6" s="1"/>
  <c r="M35" i="8"/>
  <c r="K11" i="7" s="1"/>
  <c r="Y20" i="10" s="1"/>
  <c r="L101" i="8"/>
  <c r="J17" i="7" s="1"/>
  <c r="X32" i="10" s="1"/>
  <c r="L130" i="8"/>
  <c r="E19" i="7"/>
  <c r="E15" i="5"/>
  <c r="F16" i="5"/>
  <c r="E16" i="5" s="1"/>
  <c r="G19" i="6"/>
  <c r="L36" i="6"/>
  <c r="K35" i="6"/>
  <c r="K36" i="6" s="1"/>
  <c r="M83" i="8"/>
  <c r="K15" i="7" s="1"/>
  <c r="Y23" i="10" s="1"/>
  <c r="E7" i="5"/>
  <c r="F13" i="5"/>
  <c r="K11" i="6"/>
  <c r="L17" i="6"/>
  <c r="M65" i="6"/>
  <c r="K63" i="6"/>
  <c r="E60" i="8"/>
  <c r="M114" i="8"/>
  <c r="K18" i="7" s="1"/>
  <c r="Y21" i="10" s="1"/>
  <c r="F197" i="8"/>
  <c r="D26" i="7"/>
  <c r="G52" i="5"/>
  <c r="G57" i="5" s="1"/>
  <c r="F103" i="6"/>
  <c r="H11" i="7"/>
  <c r="L13" i="8"/>
  <c r="M22" i="8"/>
  <c r="E10" i="7"/>
  <c r="M43" i="8"/>
  <c r="M101" i="8"/>
  <c r="K17" i="7" s="1"/>
  <c r="Y32" i="10" s="1"/>
  <c r="L166" i="8"/>
  <c r="M17" i="6"/>
  <c r="G103" i="6"/>
  <c r="L35" i="8"/>
  <c r="J11" i="7" s="1"/>
  <c r="X20" i="10" s="1"/>
  <c r="E43" i="8"/>
  <c r="C12" i="7" s="1"/>
  <c r="L89" i="8"/>
  <c r="J16" i="7" s="1"/>
  <c r="X24" i="10" s="1"/>
  <c r="H114" i="8"/>
  <c r="F18" i="7" s="1"/>
  <c r="L175" i="8"/>
  <c r="J25" i="7" s="1"/>
  <c r="X36" i="10" s="1"/>
  <c r="M25" i="6"/>
  <c r="L25" i="6"/>
  <c r="M49" i="6"/>
  <c r="E79" i="6"/>
  <c r="C24" i="4" s="1"/>
  <c r="M79" i="6"/>
  <c r="H60" i="8"/>
  <c r="F14" i="7" s="1"/>
  <c r="M89" i="8"/>
  <c r="K16" i="7" s="1"/>
  <c r="Y24" i="10" s="1"/>
  <c r="J20" i="7"/>
  <c r="X38" i="10" s="1"/>
  <c r="L157" i="8"/>
  <c r="E157" i="8"/>
  <c r="J177" i="8"/>
  <c r="E182" i="8"/>
  <c r="K12" i="6"/>
  <c r="K22" i="6"/>
  <c r="K46" i="6"/>
  <c r="K74" i="6"/>
  <c r="L79" i="6"/>
  <c r="F114" i="6"/>
  <c r="H24" i="7"/>
  <c r="M13" i="8"/>
  <c r="L43" i="8"/>
  <c r="H83" i="8"/>
  <c r="F15" i="7" s="1"/>
  <c r="H19" i="7"/>
  <c r="F177" i="8"/>
  <c r="D23" i="7"/>
  <c r="M170" i="8"/>
  <c r="K24" i="7" s="1"/>
  <c r="Y30" i="10" s="1"/>
  <c r="K168" i="8"/>
  <c r="E175" i="8"/>
  <c r="C25" i="7" s="1"/>
  <c r="K188" i="8"/>
  <c r="G197" i="8"/>
  <c r="L60" i="8"/>
  <c r="L65" i="8"/>
  <c r="L83" i="8"/>
  <c r="J15" i="7" s="1"/>
  <c r="X23" i="10" s="1"/>
  <c r="E89" i="8"/>
  <c r="C16" i="7" s="1"/>
  <c r="L114" i="8"/>
  <c r="J18" i="7" s="1"/>
  <c r="X21" i="10" s="1"/>
  <c r="E130" i="8"/>
  <c r="M130" i="8"/>
  <c r="H157" i="8"/>
  <c r="J197" i="8"/>
  <c r="D21" i="2"/>
  <c r="C37" i="2"/>
  <c r="C53" i="2"/>
  <c r="C54" i="2" s="1"/>
  <c r="C13" i="2"/>
  <c r="C15" i="2" s="1"/>
  <c r="E65" i="1"/>
  <c r="E80" i="1" s="1"/>
  <c r="D59" i="1"/>
  <c r="D63" i="1"/>
  <c r="D64" i="1" s="1"/>
  <c r="F30" i="7" l="1"/>
  <c r="P30" i="10"/>
  <c r="AB30" i="10"/>
  <c r="P24" i="10"/>
  <c r="AB24" i="10"/>
  <c r="P21" i="10"/>
  <c r="AB22" i="10"/>
  <c r="P22" i="10"/>
  <c r="AB21" i="10"/>
  <c r="P23" i="10"/>
  <c r="AB23" i="10"/>
  <c r="O21" i="10"/>
  <c r="W22" i="10"/>
  <c r="AA22" i="10"/>
  <c r="P41" i="10"/>
  <c r="AB41" i="10"/>
  <c r="N34" i="10"/>
  <c r="Z34" i="10"/>
  <c r="P20" i="10"/>
  <c r="AB20" i="10"/>
  <c r="O30" i="10"/>
  <c r="W30" i="10"/>
  <c r="AA30" i="10"/>
  <c r="O39" i="10"/>
  <c r="W39" i="10"/>
  <c r="AA39" i="10"/>
  <c r="P29" i="10"/>
  <c r="AB31" i="10"/>
  <c r="N37" i="10"/>
  <c r="Z37" i="10"/>
  <c r="O22" i="10"/>
  <c r="W21" i="10"/>
  <c r="AA21" i="10"/>
  <c r="O38" i="10"/>
  <c r="W38" i="10"/>
  <c r="AA38" i="10"/>
  <c r="O36" i="10"/>
  <c r="W36" i="10"/>
  <c r="AA36" i="10"/>
  <c r="P32" i="10"/>
  <c r="AB32" i="10"/>
  <c r="P39" i="10"/>
  <c r="AB39" i="10"/>
  <c r="P36" i="10"/>
  <c r="AB36" i="10"/>
  <c r="O29" i="10"/>
  <c r="AA31" i="10"/>
  <c r="P38" i="10"/>
  <c r="AB38" i="10"/>
  <c r="O32" i="10"/>
  <c r="W32" i="10"/>
  <c r="AA32" i="10"/>
  <c r="O24" i="10"/>
  <c r="W24" i="10"/>
  <c r="AA24" i="10"/>
  <c r="O23" i="10"/>
  <c r="W23" i="10"/>
  <c r="AA23" i="10"/>
  <c r="O20" i="10"/>
  <c r="W20" i="10"/>
  <c r="AA20" i="10"/>
  <c r="E86" i="6"/>
  <c r="K32" i="6"/>
  <c r="H86" i="6"/>
  <c r="H114" i="6"/>
  <c r="F29" i="4"/>
  <c r="F32" i="4" s="1"/>
  <c r="C20" i="4"/>
  <c r="K69" i="6"/>
  <c r="H95" i="6"/>
  <c r="E8" i="4"/>
  <c r="J116" i="6"/>
  <c r="E7" i="4" s="1"/>
  <c r="H32" i="4"/>
  <c r="D32" i="4"/>
  <c r="D6" i="4" s="1"/>
  <c r="E138" i="8"/>
  <c r="F9" i="7"/>
  <c r="H15" i="8"/>
  <c r="C16" i="4"/>
  <c r="E42" i="6"/>
  <c r="K84" i="6"/>
  <c r="G32" i="4"/>
  <c r="D7" i="4" s="1"/>
  <c r="K49" i="6"/>
  <c r="K25" i="6"/>
  <c r="K103" i="6"/>
  <c r="I116" i="6"/>
  <c r="K65" i="6"/>
  <c r="K79" i="6"/>
  <c r="F81" i="1"/>
  <c r="D31" i="1"/>
  <c r="E15" i="8"/>
  <c r="K186" i="8"/>
  <c r="I27" i="7" s="1"/>
  <c r="L27" i="7" s="1"/>
  <c r="K10" i="7"/>
  <c r="Y35" i="10" s="1"/>
  <c r="M48" i="8"/>
  <c r="J10" i="7"/>
  <c r="X35" i="10" s="1"/>
  <c r="L48" i="8"/>
  <c r="C10" i="7"/>
  <c r="E48" i="8"/>
  <c r="F10" i="7"/>
  <c r="H48" i="8"/>
  <c r="K170" i="8"/>
  <c r="I24" i="7" s="1"/>
  <c r="L24" i="7" s="1"/>
  <c r="F22" i="7"/>
  <c r="H159" i="8"/>
  <c r="C22" i="7"/>
  <c r="E159" i="8"/>
  <c r="F27" i="7"/>
  <c r="J22" i="7"/>
  <c r="X28" i="10" s="1"/>
  <c r="L159" i="8"/>
  <c r="K22" i="7"/>
  <c r="Y28" i="10" s="1"/>
  <c r="M159" i="8"/>
  <c r="K182" i="8"/>
  <c r="I26" i="7" s="1"/>
  <c r="L26" i="7" s="1"/>
  <c r="K166" i="8"/>
  <c r="I23" i="7" s="1"/>
  <c r="L23" i="7" s="1"/>
  <c r="K175" i="8"/>
  <c r="I25" i="7" s="1"/>
  <c r="L25" i="7" s="1"/>
  <c r="K93" i="6"/>
  <c r="K95" i="6" s="1"/>
  <c r="E95" i="6"/>
  <c r="K61" i="6"/>
  <c r="G116" i="6"/>
  <c r="E6" i="4" s="1"/>
  <c r="D60" i="1"/>
  <c r="D65" i="1" s="1"/>
  <c r="D80" i="1" s="1"/>
  <c r="K65" i="8"/>
  <c r="F19" i="7"/>
  <c r="H138" i="8"/>
  <c r="K35" i="8"/>
  <c r="I11" i="7" s="1"/>
  <c r="L11" i="7" s="1"/>
  <c r="K14" i="7"/>
  <c r="Y27" i="10" s="1"/>
  <c r="K89" i="8"/>
  <c r="I16" i="7" s="1"/>
  <c r="L16" i="7" s="1"/>
  <c r="K83" i="8"/>
  <c r="I15" i="7" s="1"/>
  <c r="L15" i="7" s="1"/>
  <c r="H177" i="8"/>
  <c r="J14" i="7"/>
  <c r="X27" i="10" s="1"/>
  <c r="I199" i="8"/>
  <c r="L197" i="8"/>
  <c r="K13" i="8"/>
  <c r="K15" i="8" s="1"/>
  <c r="K192" i="8"/>
  <c r="I28" i="7" s="1"/>
  <c r="L28" i="7" s="1"/>
  <c r="M197" i="8"/>
  <c r="K43" i="8"/>
  <c r="K22" i="8"/>
  <c r="G30" i="7"/>
  <c r="C15" i="4"/>
  <c r="C21" i="2"/>
  <c r="K60" i="8"/>
  <c r="K101" i="8"/>
  <c r="I17" i="7" s="1"/>
  <c r="L17" i="7" s="1"/>
  <c r="C14" i="7"/>
  <c r="E30" i="7"/>
  <c r="D30" i="7"/>
  <c r="E32" i="4"/>
  <c r="K19" i="7"/>
  <c r="Y25" i="10" s="1"/>
  <c r="M138" i="8"/>
  <c r="L42" i="6"/>
  <c r="K12" i="7"/>
  <c r="Y26" i="10" s="1"/>
  <c r="M86" i="6"/>
  <c r="L138" i="8"/>
  <c r="J19" i="7"/>
  <c r="X25" i="10" s="1"/>
  <c r="C19" i="7"/>
  <c r="M15" i="8"/>
  <c r="K9" i="7"/>
  <c r="Y40" i="10" s="1"/>
  <c r="E197" i="8"/>
  <c r="C26" i="7"/>
  <c r="K157" i="8"/>
  <c r="K159" i="8" s="1"/>
  <c r="K133" i="8"/>
  <c r="I20" i="7"/>
  <c r="L20" i="7" s="1"/>
  <c r="M42" i="6"/>
  <c r="M19" i="6"/>
  <c r="J9" i="7"/>
  <c r="X40" i="10" s="1"/>
  <c r="L15" i="8"/>
  <c r="L19" i="6"/>
  <c r="H30" i="7"/>
  <c r="F199" i="8"/>
  <c r="K17" i="6"/>
  <c r="L86" i="6"/>
  <c r="J199" i="8"/>
  <c r="K130" i="8"/>
  <c r="G199" i="8"/>
  <c r="J12" i="7"/>
  <c r="X26" i="10" s="1"/>
  <c r="F116" i="6"/>
  <c r="L177" i="8"/>
  <c r="J23" i="7"/>
  <c r="X41" i="10" s="1"/>
  <c r="K114" i="8"/>
  <c r="I18" i="7" s="1"/>
  <c r="L18" i="7" s="1"/>
  <c r="F35" i="5"/>
  <c r="D5" i="4" s="1"/>
  <c r="E13" i="5"/>
  <c r="E35" i="5" s="1"/>
  <c r="C5" i="4" s="1"/>
  <c r="M177" i="8"/>
  <c r="E177" i="8"/>
  <c r="K114" i="6"/>
  <c r="K42" i="6" l="1"/>
  <c r="X43" i="10"/>
  <c r="Y43" i="10"/>
  <c r="P40" i="10"/>
  <c r="AB40" i="10"/>
  <c r="P28" i="10"/>
  <c r="AB28" i="10"/>
  <c r="P35" i="10"/>
  <c r="AB35" i="10"/>
  <c r="N22" i="10"/>
  <c r="Z21" i="10"/>
  <c r="N21" i="10"/>
  <c r="Q21" i="10" s="1"/>
  <c r="Z22" i="10"/>
  <c r="P25" i="10"/>
  <c r="AB25" i="10"/>
  <c r="N38" i="10"/>
  <c r="Z38" i="10"/>
  <c r="P26" i="10"/>
  <c r="AB27" i="10"/>
  <c r="O28" i="10"/>
  <c r="W28" i="10"/>
  <c r="AA28" i="10"/>
  <c r="N36" i="10"/>
  <c r="Z36" i="10"/>
  <c r="N30" i="10"/>
  <c r="Z30" i="10"/>
  <c r="P27" i="10"/>
  <c r="AB26" i="10"/>
  <c r="O41" i="10"/>
  <c r="W41" i="10"/>
  <c r="AA41" i="10"/>
  <c r="O25" i="10"/>
  <c r="W25" i="10"/>
  <c r="AA25" i="10"/>
  <c r="N39" i="10"/>
  <c r="Z39" i="10"/>
  <c r="N32" i="10"/>
  <c r="Z32" i="10"/>
  <c r="N24" i="10"/>
  <c r="Z24" i="10"/>
  <c r="N23" i="10"/>
  <c r="Z23" i="10"/>
  <c r="O26" i="10"/>
  <c r="W27" i="10"/>
  <c r="AA27" i="10"/>
  <c r="O27" i="10"/>
  <c r="W26" i="10"/>
  <c r="AA26" i="10"/>
  <c r="N20" i="10"/>
  <c r="Z20" i="10"/>
  <c r="O35" i="10"/>
  <c r="W35" i="10"/>
  <c r="AA35" i="10"/>
  <c r="O40" i="10"/>
  <c r="W40" i="10"/>
  <c r="AA40" i="10"/>
  <c r="H116" i="6"/>
  <c r="C7" i="4" s="1"/>
  <c r="N7" i="4" s="1"/>
  <c r="C32" i="4"/>
  <c r="E9" i="4"/>
  <c r="E116" i="6"/>
  <c r="C6" i="4" s="1"/>
  <c r="N6" i="4" s="1"/>
  <c r="K86" i="6"/>
  <c r="I10" i="7"/>
  <c r="L10" i="7" s="1"/>
  <c r="K48" i="8"/>
  <c r="K177" i="8"/>
  <c r="I14" i="7"/>
  <c r="L14" i="7" s="1"/>
  <c r="I9" i="7"/>
  <c r="K197" i="8"/>
  <c r="I12" i="7"/>
  <c r="L12" i="7" s="1"/>
  <c r="H199" i="8"/>
  <c r="L199" i="8"/>
  <c r="C30" i="7"/>
  <c r="M116" i="6"/>
  <c r="L116" i="6"/>
  <c r="M199" i="8"/>
  <c r="K30" i="7"/>
  <c r="K138" i="8"/>
  <c r="I19" i="7"/>
  <c r="L19" i="7" s="1"/>
  <c r="K19" i="6"/>
  <c r="I22" i="7"/>
  <c r="L22" i="7" s="1"/>
  <c r="J30" i="7"/>
  <c r="E199" i="8"/>
  <c r="P43" i="10" l="1"/>
  <c r="O43" i="10"/>
  <c r="N41" i="10"/>
  <c r="Z41" i="10"/>
  <c r="Q22" i="10"/>
  <c r="N12" i="10"/>
  <c r="N25" i="10"/>
  <c r="Z25" i="10"/>
  <c r="N4" i="10"/>
  <c r="Q30" i="10"/>
  <c r="N28" i="10"/>
  <c r="Z28" i="10"/>
  <c r="P33" i="10"/>
  <c r="Q32" i="10"/>
  <c r="N2" i="10"/>
  <c r="Q24" i="10"/>
  <c r="N10" i="10"/>
  <c r="Q23" i="10"/>
  <c r="N11" i="10"/>
  <c r="N26" i="10"/>
  <c r="Z27" i="10"/>
  <c r="N27" i="10"/>
  <c r="Z26" i="10"/>
  <c r="N14" i="10"/>
  <c r="Q20" i="10"/>
  <c r="S20" i="10" s="1"/>
  <c r="N35" i="10"/>
  <c r="Z35" i="10"/>
  <c r="N40" i="10"/>
  <c r="W43" i="10"/>
  <c r="Z40" i="10"/>
  <c r="O31" i="10"/>
  <c r="O33" i="10" s="1"/>
  <c r="N43" i="10"/>
  <c r="N31" i="10" s="1"/>
  <c r="L9" i="7"/>
  <c r="L30" i="7" s="1"/>
  <c r="I30" i="7"/>
  <c r="K116" i="6"/>
  <c r="K199" i="8"/>
  <c r="N13" i="10"/>
  <c r="D32" i="1"/>
  <c r="D40" i="1" s="1"/>
  <c r="D41" i="1" s="1"/>
  <c r="D79" i="1" s="1"/>
  <c r="D81" i="1" s="1"/>
  <c r="E40" i="1"/>
  <c r="E41" i="1" s="1"/>
  <c r="E79" i="1" s="1"/>
  <c r="E81" i="1" s="1"/>
  <c r="F45" i="5"/>
  <c r="F52" i="5" s="1"/>
  <c r="F57" i="5" s="1"/>
  <c r="Q28" i="10" l="1"/>
  <c r="N6" i="10"/>
  <c r="N9" i="10"/>
  <c r="Q25" i="10"/>
  <c r="Q26" i="10"/>
  <c r="N8" i="10"/>
  <c r="N7" i="10"/>
  <c r="Q27" i="10"/>
  <c r="N3" i="10"/>
  <c r="N33" i="10"/>
  <c r="Q31" i="10"/>
  <c r="D8" i="4"/>
  <c r="D9" i="4" s="1"/>
  <c r="E45" i="5"/>
  <c r="E52" i="5" s="1"/>
  <c r="E57" i="5" s="1"/>
  <c r="Q29" i="10"/>
  <c r="N15" i="10" l="1"/>
  <c r="C8" i="4"/>
  <c r="N8" i="4" s="1"/>
  <c r="N9" i="4" s="1"/>
  <c r="Q33" i="10"/>
  <c r="C9" i="4" l="1"/>
</calcChain>
</file>

<file path=xl/sharedStrings.xml><?xml version="1.0" encoding="utf-8"?>
<sst xmlns="http://schemas.openxmlformats.org/spreadsheetml/2006/main" count="748" uniqueCount="460">
  <si>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</si>
  <si>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</si>
  <si>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</si>
  <si>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</si>
  <si>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</si>
  <si>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</si>
  <si>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</si>
  <si>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</si>
  <si>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>Daňové výnosy (ř.1 až ř.6)</t>
  </si>
  <si>
    <t>Daň z příjmů právnických osob za obce - rozpočtová činnost</t>
  </si>
  <si>
    <t>133x</t>
  </si>
  <si>
    <t>134x</t>
  </si>
  <si>
    <t>135x</t>
  </si>
  <si>
    <t>tř. 1</t>
  </si>
  <si>
    <t>211x</t>
  </si>
  <si>
    <t>212x</t>
  </si>
  <si>
    <t>213x</t>
  </si>
  <si>
    <t>214x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</si>
  <si>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</si>
  <si>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</si>
  <si>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</si>
  <si>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</si>
  <si>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</si>
  <si>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</si>
  <si>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</si>
  <si>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</si>
  <si>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</si>
  <si>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</si>
  <si>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>Ostatní neinvestiční přijaté transfery ze státního rozpočtu</t>
  </si>
  <si>
    <t xml:space="preserve"> *)</t>
  </si>
  <si>
    <t>tř. 4</t>
  </si>
  <si>
    <t>tř. 1 až tř. 4</t>
  </si>
  <si>
    <t>VÝDAJE</t>
  </si>
  <si>
    <t>502x</t>
  </si>
  <si>
    <t>514x</t>
  </si>
  <si>
    <t>Úroky a ostatní finanční výdaje</t>
  </si>
  <si>
    <t>516x</t>
  </si>
  <si>
    <t>Opravy a udržování</t>
  </si>
  <si>
    <t>522x</t>
  </si>
  <si>
    <t>Neinvestiční příspěvky zřízeným příspěvkovým organizacím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</si>
  <si>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</si>
  <si>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</si>
  <si>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</si>
  <si>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</si>
  <si>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</si>
  <si>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</si>
  <si>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</si>
  <si>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</si>
  <si>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</si>
  <si>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Změna stavu krátkodobých prostředků na bankovních účtech</t>
  </si>
  <si>
    <t>Uhrazené splátky dlouhodobých přijatých půjček a úvěrů</t>
  </si>
  <si>
    <t>Uhrazené splátky dlouhodobých přijatých úvěrů - EIB</t>
  </si>
  <si>
    <t>tř. 8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</si>
  <si>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</si>
  <si>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</si>
  <si>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</si>
  <si>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</si>
  <si>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</si>
  <si>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</si>
  <si>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</si>
  <si>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</si>
  <si>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</si>
  <si>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</si>
  <si>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</si>
  <si>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</si>
  <si>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</si>
  <si>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</si>
  <si>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</si>
  <si>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</si>
  <si>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</si>
  <si>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</si>
  <si>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</si>
  <si>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</si>
  <si>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</si>
  <si>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</si>
  <si>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</si>
  <si>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</si>
  <si>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</si>
  <si>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</si>
  <si>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</si>
  <si>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</si>
  <si>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</si>
  <si>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</si>
  <si>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</si>
  <si>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</si>
  <si>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</si>
  <si>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</si>
  <si>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</si>
  <si>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</si>
  <si>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</si>
  <si>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</si>
  <si>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</si>
  <si>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</si>
  <si>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</si>
  <si>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</si>
  <si>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</si>
  <si>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</si>
  <si>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</si>
  <si>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</si>
  <si>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</si>
  <si>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</si>
  <si>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</si>
  <si>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</si>
  <si>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</si>
  <si>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</si>
  <si>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</si>
  <si>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</si>
  <si>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</si>
  <si>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</si>
  <si>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</si>
  <si>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</si>
  <si>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</si>
  <si>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</si>
  <si>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</si>
  <si>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</si>
  <si>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</si>
  <si>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</si>
  <si>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</si>
  <si>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</si>
  <si>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</si>
  <si>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</si>
  <si>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</si>
  <si>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</si>
  <si>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</si>
  <si>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</si>
  <si>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</si>
  <si>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</si>
  <si>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11 Daně z příjmů, zisku a kapitálových výnosů</t>
  </si>
  <si>
    <t>13 Daně a poplatky z vybraných činností a služeb</t>
  </si>
  <si>
    <t>*)</t>
  </si>
  <si>
    <t>41 Neinvestiční přijaté transfery</t>
  </si>
  <si>
    <t>Členěno dle skupin, oddílů a paragrafů rozpočtové skladby</t>
  </si>
  <si>
    <t>Oddíl</t>
  </si>
  <si>
    <t>§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</si>
  <si>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</si>
  <si>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</si>
  <si>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</si>
  <si>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</si>
  <si>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</si>
  <si>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</si>
  <si>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Ostatní zemědělská a potravinářská činnost a rozvoj</t>
  </si>
  <si>
    <t>Pěstební činnost</t>
  </si>
  <si>
    <t>Podpora ostatních produkčních činností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</si>
  <si>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</si>
  <si>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</si>
  <si>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</si>
  <si>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</si>
  <si>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</si>
  <si>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</si>
  <si>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</si>
  <si>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</si>
  <si>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</si>
  <si>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</si>
  <si>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</si>
  <si>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</si>
  <si>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</si>
  <si>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</si>
  <si>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31 a 32 Vzdělávání a školské služby</t>
  </si>
  <si>
    <t>Divadelní činnost</t>
  </si>
  <si>
    <t>Hudební činnost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</si>
  <si>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</si>
  <si>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</si>
  <si>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</si>
  <si>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</si>
  <si>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</si>
  <si>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</si>
  <si>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</si>
  <si>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</si>
  <si>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</si>
  <si>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Využití volného času dětí a mládeže</t>
  </si>
  <si>
    <t>Ostatní zájmová činnost a rekreace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</si>
  <si>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</si>
  <si>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</si>
  <si>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</si>
  <si>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</si>
  <si>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</si>
  <si>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</si>
  <si>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</si>
  <si>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</si>
  <si>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</si>
  <si>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36 Bydlení, komunální služby a územní rozvoj</t>
  </si>
  <si>
    <t>Sběr a svoz komunálních odpadů</t>
  </si>
  <si>
    <t>Péče o vzhled obcí a veřejnou zeleň</t>
  </si>
  <si>
    <t>Ostatní správa v ochraně životního prostředí</t>
  </si>
  <si>
    <t>37 Ochrana životního prostředí</t>
  </si>
  <si>
    <t>Domovy pro seniory</t>
  </si>
  <si>
    <t>Domovy pro osoby se zdr. postižením a domovy se zvl. režimem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</si>
  <si>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</si>
  <si>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</si>
  <si>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</si>
  <si>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</si>
  <si>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</si>
  <si>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 Bezpečnost státu a právní ochrana</t>
  </si>
  <si>
    <t>Činnost místní správy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</si>
  <si>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</si>
  <si>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</si>
  <si>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</si>
  <si>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</si>
  <si>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</si>
  <si>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</si>
  <si>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</si>
  <si>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</si>
  <si>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</si>
  <si>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</si>
  <si>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</si>
  <si>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</si>
  <si>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</si>
  <si>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</si>
  <si>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>52</t>
  </si>
  <si>
    <t>55</t>
  </si>
  <si>
    <t xml:space="preserve"> Finanční operace *)</t>
  </si>
  <si>
    <t>64</t>
  </si>
  <si>
    <t xml:space="preserve"> Ostatní činnosti   </t>
  </si>
  <si>
    <t>Název paragrafu</t>
  </si>
  <si>
    <t xml:space="preserve">Celospolečenské funkce lesů </t>
  </si>
  <si>
    <t>Úspora energie a obnovitelné zdroje</t>
  </si>
  <si>
    <t xml:space="preserve">Silnice 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</si>
  <si>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</si>
  <si>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</si>
  <si>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</si>
  <si>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</si>
  <si>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</si>
  <si>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</si>
  <si>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</si>
  <si>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>Úpravy drobných vodních toků</t>
  </si>
  <si>
    <t xml:space="preserve">Základní školy 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</si>
  <si>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</si>
  <si>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</si>
  <si>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</si>
  <si>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</si>
  <si>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</si>
  <si>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</si>
  <si>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</si>
  <si>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</si>
  <si>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</si>
  <si>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</si>
  <si>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</si>
  <si>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</si>
  <si>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</si>
  <si>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</si>
  <si>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</si>
  <si>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>Ostatní záležitosti ochrany památek a péče o kulturní dědictví</t>
  </si>
  <si>
    <t>Rozhlas a televize</t>
  </si>
  <si>
    <t xml:space="preserve">Ostatní záležitosti sdělovacích prostředků 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</si>
  <si>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</si>
  <si>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</si>
  <si>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</si>
  <si>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</si>
  <si>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</si>
  <si>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</si>
  <si>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</si>
  <si>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</si>
  <si>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</si>
  <si>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</si>
  <si>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</si>
  <si>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</si>
  <si>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</si>
  <si>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</si>
  <si>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</si>
  <si>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</si>
  <si>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</si>
  <si>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</si>
  <si>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</si>
  <si>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Péče o vzhled obcí a veřejnou zeleň </t>
  </si>
  <si>
    <t>Ostatní činnosti k ochraně přírody a krajiny</t>
  </si>
  <si>
    <t xml:space="preserve">Ekologická výchova a osvěta </t>
  </si>
  <si>
    <t>38 Ostatní výzkum a vývoj</t>
  </si>
  <si>
    <t>Zařízení pro děti vyžadující okamžitou pomoc</t>
  </si>
  <si>
    <t>Ostatní sociální pomoc dětem a mládeži</t>
  </si>
  <si>
    <t>Ostatní sociální péče a pomoc rodině a manželství</t>
  </si>
  <si>
    <t>Ostatní služby a činnosti v oblasti sociální péče</t>
  </si>
  <si>
    <t>Azylové domy, nízkoprahová denní centra a noclehárny</t>
  </si>
  <si>
    <t>Nízkoprahová zařízení pro děti a mládež</t>
  </si>
  <si>
    <t>Ostatní záležitosti sociálních věcí a politiky zaměstnanosti</t>
  </si>
  <si>
    <t>Ochrana obyvatelstva</t>
  </si>
  <si>
    <t>Ostatní správa v oblasti krizového řízení</t>
  </si>
  <si>
    <t>52 Civilní připravenost na krizové stavy</t>
  </si>
  <si>
    <t xml:space="preserve">Bezpečnost a veřejný pořádek </t>
  </si>
  <si>
    <t>Ostatní záležitosti bezpečnosti a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</si>
  <si>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</si>
  <si>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</si>
  <si>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</si>
  <si>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</si>
  <si>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</si>
  <si>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</si>
  <si>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</si>
  <si>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</si>
  <si>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</si>
  <si>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</si>
  <si>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</si>
  <si>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</si>
  <si>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</si>
  <si>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</si>
  <si>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</si>
  <si>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</si>
  <si>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</si>
  <si>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</si>
  <si>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</si>
  <si>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</si>
  <si>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</si>
  <si>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</si>
  <si>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</si>
  <si>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</si>
  <si>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</si>
  <si>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</si>
  <si>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</si>
  <si>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</si>
  <si>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</si>
  <si>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</si>
  <si>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</si>
  <si>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</si>
  <si>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138x</t>
  </si>
  <si>
    <t>Daňové příjmy celkem (ř.7 až ř.14)</t>
  </si>
  <si>
    <t>Nedaňové příjmy celkem (ř.16 až ř.21)</t>
  </si>
  <si>
    <t>Ostatní činnosti k ochraně ovzduší</t>
  </si>
  <si>
    <t>Rezervy rozpočtu</t>
  </si>
  <si>
    <t>24 Spoje</t>
  </si>
  <si>
    <t>Ostatní záležitosti spojů</t>
  </si>
  <si>
    <t xml:space="preserve"> Spoje</t>
  </si>
  <si>
    <t>Podpora podnikání a inovací</t>
  </si>
  <si>
    <t>Krizová pomoc</t>
  </si>
  <si>
    <t>Ostatní výdaje související se sociálním poradenstvím</t>
  </si>
  <si>
    <t>43 Sociální služby a pomoc a společné činnosti v sociálním zabezpečení</t>
  </si>
  <si>
    <t>Územní plánování</t>
  </si>
  <si>
    <t>Ozdravování hospodářských zvířat a plodin a zvl. veterinární péče</t>
  </si>
  <si>
    <t>Zdravotnická záchranná služba</t>
  </si>
  <si>
    <t>Krizová opatření</t>
  </si>
  <si>
    <t>24  Spoje</t>
  </si>
  <si>
    <t>Záležitosti pošt</t>
  </si>
  <si>
    <t>Střední školy poskytující střední vzdělání s výučním listem</t>
  </si>
  <si>
    <t xml:space="preserve"> Bydlení, komunální služ. a územ. rozvoj</t>
  </si>
  <si>
    <t>Dopravní obslužnost veřejnými službami - linková</t>
  </si>
  <si>
    <t>Ostatní záležitosti základního vzdělávání</t>
  </si>
  <si>
    <t>Ostatní sportovní činnost</t>
  </si>
  <si>
    <t>501x+503x</t>
  </si>
  <si>
    <t>Vodní díla v zemědělské krajině</t>
  </si>
  <si>
    <t>Provoz veřejné silniční dopravy</t>
  </si>
  <si>
    <t>Neinvestiční převody mezi městem a městskými částmi - transfery</t>
  </si>
  <si>
    <t>Neinvestiční převody mezi městskými částmi - transfery</t>
  </si>
  <si>
    <t>Neinvestiční převody mezi městem a městskými částmi - splátky zápůjček</t>
  </si>
  <si>
    <t>Investiční převody mezi městem a městskými částmi - transfery</t>
  </si>
  <si>
    <t xml:space="preserve">Financování statutárního města Brna celkem (ř.1 až ř.4) </t>
  </si>
  <si>
    <t>5901+5903</t>
  </si>
  <si>
    <t>Neinvestiční převody mezi městem a městskými částmi - zápůjčky</t>
  </si>
  <si>
    <t>42 Investiční přijaté transfery</t>
  </si>
  <si>
    <t xml:space="preserve">Běžné výdaje celkem  (ř.1 až ř.14) </t>
  </si>
  <si>
    <t xml:space="preserve">Kapitálové výdaje celkem (ř.16 až ř.18) </t>
  </si>
  <si>
    <t>Výdaje statutárního města Brna celkem  (ř.15 + ř.19)</t>
  </si>
  <si>
    <t>4137,4251</t>
  </si>
  <si>
    <t>Poskytnuté transfery městským částem - neinvestiční</t>
  </si>
  <si>
    <t>Poskytnuté transfery městským částem - investiční</t>
  </si>
  <si>
    <t>Přijaté transfery</t>
  </si>
  <si>
    <t>Poskytnuté transfery</t>
  </si>
  <si>
    <t>Ostatní služby a činnosti v oblasti sociální prevence</t>
  </si>
  <si>
    <t>Dopravní obslužnost mimo veřejnou službu</t>
  </si>
  <si>
    <t>Dopravní obslužnost veřejnými službami - drážní</t>
  </si>
  <si>
    <t>Programy paliativní péče</t>
  </si>
  <si>
    <t>Sociální rehabilitace</t>
  </si>
  <si>
    <t>Volby do Parlamentu ČR</t>
  </si>
  <si>
    <t>Příjem z daně z příjmů fyzických osob placené plátci</t>
  </si>
  <si>
    <t>Příjem z daně z příjmů fyzických osob placené poplatníky</t>
  </si>
  <si>
    <t>Příjem z daně z příjmů fyzických osob vybírané srážkou</t>
  </si>
  <si>
    <t xml:space="preserve">Příjem z daně z příjmů právnických osob </t>
  </si>
  <si>
    <t>Příjem z daně z přidané hodnoty</t>
  </si>
  <si>
    <t>Příjem z daně z nemovitých věcí</t>
  </si>
  <si>
    <t xml:space="preserve">Příjem z daně z příjmů právnických osob za obce - VHČ </t>
  </si>
  <si>
    <t>Příjem z daně z příjmů právnických osob za obce - rozpočtová činnost</t>
  </si>
  <si>
    <t>Příjem z poplatků a odvodů v oblasti životního prostředí</t>
  </si>
  <si>
    <t>Příjem z místních poplatků z vybraných činností a služeb</t>
  </si>
  <si>
    <t>Příjem z ostatních odvodů z vybraných činností a služeb</t>
  </si>
  <si>
    <t>Příjem ze správních poplatků</t>
  </si>
  <si>
    <t>Příjem z daní, poplatků a jiných obd. peněžitých plnění v oblasti hazardních her</t>
  </si>
  <si>
    <t xml:space="preserve">Příjem z vlastní činnosti </t>
  </si>
  <si>
    <t xml:space="preserve">Příjem z pronájmu nebo pachtu majetku </t>
  </si>
  <si>
    <t>Přijaté výnosy z finančního majetku</t>
  </si>
  <si>
    <t>Převody z vlastních fondů podnikatelské činnosti</t>
  </si>
  <si>
    <t>Neinvestiční přijaté transfery od obcí</t>
  </si>
  <si>
    <t xml:space="preserve">Neinvestiční přijaté transfery ze SR v rámci souhrnného dotačního vztahu </t>
  </si>
  <si>
    <t>Platy, povinné a zákonné pojistné</t>
  </si>
  <si>
    <t>Výdaje na ostatní platby za provedenou práci</t>
  </si>
  <si>
    <t>Výdaje na nákup služeb</t>
  </si>
  <si>
    <t>Neinvestiční transfery nefinančním podnikatelům - DPmB</t>
  </si>
  <si>
    <t>Neinvestiční transfery neziskovým a podobným osobám</t>
  </si>
  <si>
    <t>Kapitálové příjmy celkem (ř.23 + ř.24)</t>
  </si>
  <si>
    <t>Vlastní příjmy (ř.15 + ř.22 + ř.25)</t>
  </si>
  <si>
    <t>Přijaté transfery celkem (ř.27 až ř.34)</t>
  </si>
  <si>
    <t>Příjmy statutárního města Brna celkem (ř.26 + ř.35)</t>
  </si>
  <si>
    <r>
      <t>Příjem z daně z příjmů právnických osob za obce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</si>
  <si>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t>Příjem z odvodů za odnětí půdy ze zemědělského půdního fondu</t>
  </si>
  <si>
    <t>Příjem z poplatků za odnětí pozemků podle lesního zákona</t>
  </si>
  <si>
    <t>Příjem z poplatku za obecní systém odpadového hospodářství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</si>
  <si>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</si>
  <si>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</si>
  <si>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</si>
  <si>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</si>
  <si>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za zkoušky z odb. způsobilosti od žadatelů o řidičské oprávnění</t>
  </si>
  <si>
    <t>Příjem z úhrad za dobývání nerostů a poplatků za geologické práce</t>
  </si>
  <si>
    <t>Příjem z daně z hazardních her s výjimkou dílčí daně z technických her</t>
  </si>
  <si>
    <t>Příjem z dílčí daně z technických her</t>
  </si>
  <si>
    <t>Střední odborné školy</t>
  </si>
  <si>
    <t>Ostatní záležitosti lesního hospodářství</t>
  </si>
  <si>
    <t xml:space="preserve">Využívání a zneškodňování komunálních odpadů </t>
  </si>
  <si>
    <t xml:space="preserve"> Zemědělství, lesní hospodářství a rybářství</t>
  </si>
  <si>
    <t xml:space="preserve"> Sport a zájmová činnost</t>
  </si>
  <si>
    <t xml:space="preserve"> Sociální služby a společné činnosti v sociálním zabezpečení</t>
  </si>
  <si>
    <t xml:space="preserve"> Státní moc, státní správa, územní samospráva a pol. strany</t>
  </si>
  <si>
    <t>10 Zemědělství, lesní hospodářství a rybářství</t>
  </si>
  <si>
    <t>1 Zemědělství, lesní hospodářství a rybářství</t>
  </si>
  <si>
    <t>3 Služby pro fyzické osoby</t>
  </si>
  <si>
    <t>34 Sport a zájmová činnost</t>
  </si>
  <si>
    <t>43 Sociální služby a společné činnosti v sociálním zabezpečení</t>
  </si>
  <si>
    <t>61  Státní moc, státní správa, územní samospráva a pol. strany</t>
  </si>
  <si>
    <t>12 Daně, poplatky a jiná obdobná peněžitá plnění ze zboží a služeb v tuzemsku</t>
  </si>
  <si>
    <t>15 Příjem z majetkových daní</t>
  </si>
  <si>
    <t>Podnikání a restrukturalizace v zemědělství a potravinářství</t>
  </si>
  <si>
    <t xml:space="preserve">Ostatní záležitosti v silniční dopravě </t>
  </si>
  <si>
    <t>Zařízení výchovného poradenství</t>
  </si>
  <si>
    <t>Sportovní zařízení ve vlastnictví obce</t>
  </si>
  <si>
    <t>Soc. pomoc osobám v hmotné nouzi a soc. nepřizpůsobivým</t>
  </si>
  <si>
    <t>Rybářství a myslivost</t>
  </si>
  <si>
    <t xml:space="preserve">Úpravy vodohospodářsky významných a vodárenských toků    </t>
  </si>
  <si>
    <t>Základní školy pro žáky se speciálními vzdělávacími potřebami</t>
  </si>
  <si>
    <t>Záležitosti zájmového vzdělávání j.n.</t>
  </si>
  <si>
    <t>Pořízení, zachování a obnova hodnot místního kulturního povědomí</t>
  </si>
  <si>
    <t>Činnosti registrovaných církví a náboženských společností</t>
  </si>
  <si>
    <t>Ostatní rozvoj bydlení a bytového hospodářství</t>
  </si>
  <si>
    <t>Sběr a svoz ostatních odpadů jiných než nebezpečných a komunálních</t>
  </si>
  <si>
    <t xml:space="preserve">Protierozní, protilavinová a protipožární ochrana </t>
  </si>
  <si>
    <t>Ostatní výzkum a vývoj odvětvově nespecifikovaný</t>
  </si>
  <si>
    <t>Ostatní činnosti související se službami pro fyzické osoby</t>
  </si>
  <si>
    <t xml:space="preserve">Sociální péče a pomoc přistěhovalcům a vybraným etnikům </t>
  </si>
  <si>
    <t>Ost. sociální péče a pomoc ostatním skupinám fyzických osob</t>
  </si>
  <si>
    <t>Osobní asistence, pečovatel. služba a podpora samostatného bydlení</t>
  </si>
  <si>
    <t>Záležitosti krizového řízení j.n.</t>
  </si>
  <si>
    <t xml:space="preserve"> Soc. služby a spol. činnosti v soc. zabezpečení</t>
  </si>
  <si>
    <t xml:space="preserve"> Soc. služby a spol. činnosti v soc. zab.</t>
  </si>
  <si>
    <t>Ostatní záležitosti bydlení, komunálních služeb a úz. rozvoje</t>
  </si>
  <si>
    <t>Ostatní správa v oblasti hosp. opatření pro krizové stavy</t>
  </si>
  <si>
    <t>SCHVÁLENÝ ROZPOČET 2023</t>
  </si>
  <si>
    <t>8113, 8905</t>
  </si>
  <si>
    <t>Krátkodobé přijaté půjčené prostředky; nepřevedené částky, vyrovnávající schodek</t>
  </si>
  <si>
    <t>SCHVÁLENÝ ROZPOČET NA ROK 2023</t>
  </si>
  <si>
    <t>PŘÍJMY STATUTÁRNÍHO MĚSTA BRNA - SCHVÁLENÝ ROZPOČET NA ROK 2023 - rekapitulace dle druhů příjmů a dle oddílů (tis. Kč)</t>
  </si>
  <si>
    <t>DAŇOVÉ PŘÍJMY STATUTÁRNÍHO MĚSTA BRNA - SCHVÁLENÝ ROZPOČET NA ROK 2023</t>
  </si>
  <si>
    <t>TRANSFERY, PŘIJATÉ STATUTÁRNÍM MĚSTEM BRNEM - SCHVÁLENÝ ROZPOČET NA ROK 2023</t>
  </si>
  <si>
    <t>VÝDAJE STATUTÁRNÍHO MĚSTA BRNA - SCHVÁLENÝ ROZPOČET NA ROK 2023 - rekapitulace dle druhů výdajů a dle oddílů (tis. Kč)</t>
  </si>
  <si>
    <t>BĚŽNÉ A KAPITÁLOVÉ VÝDAJE STATUTÁRNÍHO MĚSTA BRNA - SCHVÁLENÝ ROZPOČET NA ROK 2023</t>
  </si>
  <si>
    <t>NEDAŇOVÉ A KAPITÁLOVÉ PŘÍJMY STATUTÁRNÍHO MĚSTA BRNA - SCHVÁLENÝ ROZPOČET NA ROK 2023</t>
  </si>
  <si>
    <t>Hospice</t>
  </si>
  <si>
    <t>Mezinárodní spolupráce v dopravě</t>
  </si>
  <si>
    <t>Příjem z daně z příjmů právnických osob za obce - VHČ</t>
  </si>
  <si>
    <t>Lokální zásobování teplem</t>
  </si>
  <si>
    <t>Ostatní záležitosti regulace zemědělské produkce</t>
  </si>
  <si>
    <t>Poskytnuté transfery jiným městským částem - neinvestiční</t>
  </si>
  <si>
    <t xml:space="preserve"> Ostatní výdaje</t>
  </si>
  <si>
    <t xml:space="preserve"> Ostatní činnosti související se službami pro fyzické osoby</t>
  </si>
  <si>
    <t>39 Ostatní činnosti související se službami pro fyzické osoby</t>
  </si>
  <si>
    <t xml:space="preserve"> Civilní připravenost na krizové stavy</t>
  </si>
  <si>
    <t>Ozdravování hospodářských zvířat, plodin a zvl. veterinární péče</t>
  </si>
  <si>
    <t>Příjem z odvodů přebytků organizací s přímým vztahem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</si>
</sst>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21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name val="Arial CE"/>
      <charset val="238"/>
    </font>
    <font>
      <sz val="9.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19" fillId="0" borderId="0"/>
  </cellStyleXfs>
  <cellXfs count="43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" fontId="1" fillId="0" borderId="9" xfId="0" applyNumberFormat="1" applyFont="1" applyBorder="1" applyAlignment="1">
      <alignment horizontal="center"/>
    </xf>
    <xf numFmtId="0" fontId="1" fillId="0" borderId="10" xfId="0" applyFont="1" applyBorder="1"/>
    <xf numFmtId="1" fontId="1" fillId="0" borderId="11" xfId="0" applyNumberFormat="1" applyFont="1" applyBorder="1"/>
    <xf numFmtId="164" fontId="1" fillId="0" borderId="11" xfId="0" applyNumberFormat="1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0" fontId="1" fillId="0" borderId="12" xfId="0" applyFont="1" applyBorder="1"/>
    <xf numFmtId="1" fontId="1" fillId="0" borderId="13" xfId="0" applyNumberFormat="1" applyFont="1" applyBorder="1"/>
    <xf numFmtId="164" fontId="1" fillId="0" borderId="13" xfId="0" applyNumberFormat="1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left"/>
    </xf>
    <xf numFmtId="1" fontId="1" fillId="0" borderId="15" xfId="0" applyNumberFormat="1" applyFont="1" applyBorder="1"/>
    <xf numFmtId="165" fontId="1" fillId="0" borderId="15" xfId="0" applyNumberFormat="1" applyFont="1" applyBorder="1" applyAlignment="1">
      <alignment horizontal="left"/>
    </xf>
    <xf numFmtId="3" fontId="1" fillId="0" borderId="16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" fontId="2" fillId="0" borderId="15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left"/>
    </xf>
    <xf numFmtId="3" fontId="2" fillId="0" borderId="16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" fontId="1" fillId="0" borderId="9" xfId="0" applyNumberFormat="1" applyFont="1" applyBorder="1"/>
    <xf numFmtId="165" fontId="2" fillId="0" borderId="9" xfId="0" applyNumberFormat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left"/>
    </xf>
    <xf numFmtId="3" fontId="1" fillId="0" borderId="23" xfId="0" applyNumberFormat="1" applyFont="1" applyBorder="1" applyAlignment="1">
      <alignment horizontal="center"/>
    </xf>
    <xf numFmtId="0" fontId="1" fillId="0" borderId="24" xfId="0" applyFont="1" applyBorder="1"/>
    <xf numFmtId="1" fontId="2" fillId="2" borderId="15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>
      <alignment horizontal="left"/>
    </xf>
    <xf numFmtId="3" fontId="2" fillId="2" borderId="15" xfId="0" applyNumberFormat="1" applyFont="1" applyFill="1" applyBorder="1" applyAlignment="1">
      <alignment horizontal="right"/>
    </xf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25" xfId="0" applyFont="1" applyBorder="1"/>
    <xf numFmtId="1" fontId="1" fillId="0" borderId="26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3" fontId="1" fillId="0" borderId="23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1" fillId="0" borderId="27" xfId="0" applyFont="1" applyBorder="1"/>
    <xf numFmtId="1" fontId="1" fillId="0" borderId="1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8" xfId="0" applyNumberFormat="1" applyFont="1" applyBorder="1"/>
    <xf numFmtId="165" fontId="1" fillId="0" borderId="18" xfId="0" applyNumberFormat="1" applyFont="1" applyBorder="1" applyAlignment="1">
      <alignment horizontal="left"/>
    </xf>
    <xf numFmtId="1" fontId="1" fillId="0" borderId="18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left"/>
    </xf>
    <xf numFmtId="1" fontId="1" fillId="0" borderId="23" xfId="0" applyNumberFormat="1" applyFont="1" applyBorder="1"/>
    <xf numFmtId="165" fontId="1" fillId="0" borderId="23" xfId="0" applyNumberFormat="1" applyFont="1" applyBorder="1" applyAlignment="1">
      <alignment horizontal="left"/>
    </xf>
    <xf numFmtId="1" fontId="1" fillId="0" borderId="23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left"/>
    </xf>
    <xf numFmtId="1" fontId="2" fillId="0" borderId="22" xfId="0" applyNumberFormat="1" applyFont="1" applyBorder="1" applyAlignment="1">
      <alignment horizontal="right"/>
    </xf>
    <xf numFmtId="165" fontId="2" fillId="0" borderId="22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3" fontId="1" fillId="0" borderId="13" xfId="0" applyNumberFormat="1" applyFont="1" applyBorder="1"/>
    <xf numFmtId="1" fontId="2" fillId="2" borderId="29" xfId="0" applyNumberFormat="1" applyFont="1" applyFill="1" applyBorder="1" applyAlignment="1">
      <alignment horizontal="right"/>
    </xf>
    <xf numFmtId="164" fontId="2" fillId="2" borderId="29" xfId="0" applyNumberFormat="1" applyFont="1" applyFill="1" applyBorder="1" applyAlignment="1">
      <alignment horizontal="left"/>
    </xf>
    <xf numFmtId="3" fontId="2" fillId="2" borderId="29" xfId="0" applyNumberFormat="1" applyFont="1" applyFill="1" applyBorder="1" applyAlignment="1">
      <alignment horizontal="right"/>
    </xf>
    <xf numFmtId="0" fontId="1" fillId="0" borderId="30" xfId="0" applyFont="1" applyBorder="1" applyAlignment="1">
      <alignment horizontal="center"/>
    </xf>
    <xf numFmtId="0" fontId="1" fillId="0" borderId="31" xfId="0" applyFont="1" applyBorder="1"/>
    <xf numFmtId="0" fontId="1" fillId="0" borderId="26" xfId="0" applyFont="1" applyBorder="1" applyAlignment="1">
      <alignment horizontal="right"/>
    </xf>
    <xf numFmtId="1" fontId="1" fillId="0" borderId="32" xfId="0" applyNumberFormat="1" applyFont="1" applyBorder="1"/>
    <xf numFmtId="3" fontId="1" fillId="0" borderId="26" xfId="0" applyNumberFormat="1" applyFont="1" applyBorder="1"/>
    <xf numFmtId="0" fontId="1" fillId="0" borderId="11" xfId="0" applyFont="1" applyBorder="1" applyAlignment="1">
      <alignment horizontal="right"/>
    </xf>
    <xf numFmtId="1" fontId="1" fillId="0" borderId="33" xfId="0" applyNumberFormat="1" applyFont="1" applyBorder="1"/>
    <xf numFmtId="3" fontId="1" fillId="0" borderId="11" xfId="0" applyNumberFormat="1" applyFont="1" applyBorder="1"/>
    <xf numFmtId="0" fontId="2" fillId="0" borderId="15" xfId="0" applyFont="1" applyBorder="1" applyAlignment="1">
      <alignment horizontal="right"/>
    </xf>
    <xf numFmtId="1" fontId="1" fillId="0" borderId="34" xfId="0" applyNumberFormat="1" applyFont="1" applyBorder="1"/>
    <xf numFmtId="3" fontId="1" fillId="0" borderId="15" xfId="0" applyNumberFormat="1" applyFont="1" applyBorder="1"/>
    <xf numFmtId="0" fontId="1" fillId="0" borderId="35" xfId="0" applyFont="1" applyBorder="1"/>
    <xf numFmtId="0" fontId="1" fillId="0" borderId="29" xfId="0" applyFont="1" applyBorder="1" applyAlignment="1">
      <alignment horizontal="right"/>
    </xf>
    <xf numFmtId="1" fontId="1" fillId="0" borderId="36" xfId="0" applyNumberFormat="1" applyFont="1" applyBorder="1"/>
    <xf numFmtId="3" fontId="1" fillId="0" borderId="29" xfId="0" applyNumberFormat="1" applyFont="1" applyBorder="1"/>
    <xf numFmtId="0" fontId="1" fillId="0" borderId="0" xfId="0" applyFont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>
      <alignment horizontal="center"/>
    </xf>
    <xf numFmtId="0" fontId="2" fillId="0" borderId="0" xfId="1" applyFont="1"/>
    <xf numFmtId="3" fontId="1" fillId="0" borderId="38" xfId="1" applyNumberFormat="1" applyFont="1" applyBorder="1"/>
    <xf numFmtId="3" fontId="1" fillId="0" borderId="39" xfId="1" applyNumberFormat="1" applyFont="1" applyBorder="1"/>
    <xf numFmtId="3" fontId="1" fillId="0" borderId="40" xfId="1" applyNumberFormat="1" applyFont="1" applyBorder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/>
    <xf numFmtId="0" fontId="7" fillId="0" borderId="46" xfId="1" applyFont="1" applyBorder="1"/>
    <xf numFmtId="0" fontId="1" fillId="0" borderId="0" xfId="1" applyFont="1" applyAlignment="1">
      <alignment horizontal="left"/>
    </xf>
    <xf numFmtId="3" fontId="2" fillId="0" borderId="37" xfId="1" applyNumberFormat="1" applyFont="1" applyBorder="1"/>
    <xf numFmtId="0" fontId="2" fillId="0" borderId="0" xfId="1" applyFont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>
      <alignment horizontal="center"/>
    </xf>
    <xf numFmtId="3" fontId="2" fillId="0" borderId="40" xfId="1" applyNumberFormat="1" applyFont="1" applyBorder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>
      <alignment horizontal="right"/>
    </xf>
    <xf numFmtId="3" fontId="2" fillId="0" borderId="62" xfId="1" applyNumberFormat="1" applyFont="1" applyBorder="1" applyAlignment="1">
      <alignment horizontal="right"/>
    </xf>
    <xf numFmtId="3" fontId="2" fillId="3" borderId="64" xfId="1" applyNumberFormat="1" applyFont="1" applyFill="1" applyBorder="1" applyAlignment="1">
      <alignment horizontal="right"/>
    </xf>
    <xf numFmtId="0" fontId="1" fillId="0" borderId="65" xfId="1" applyFont="1" applyBorder="1"/>
    <xf numFmtId="0" fontId="1" fillId="0" borderId="66" xfId="1" applyFont="1" applyBorder="1"/>
    <xf numFmtId="3" fontId="2" fillId="0" borderId="67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Alignment="1">
      <alignment horizontal="right"/>
    </xf>
    <xf numFmtId="0" fontId="13" fillId="0" borderId="0" xfId="1" applyFont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/>
    </xf>
    <xf numFmtId="3" fontId="1" fillId="0" borderId="37" xfId="1" applyNumberFormat="1" applyFont="1" applyBorder="1" applyAlignment="1">
      <alignment horizontal="right"/>
    </xf>
    <xf numFmtId="0" fontId="2" fillId="3" borderId="37" xfId="1" applyFont="1" applyFill="1" applyBorder="1"/>
    <xf numFmtId="3" fontId="2" fillId="3" borderId="37" xfId="1" applyNumberFormat="1" applyFont="1" applyFill="1" applyBorder="1" applyAlignment="1">
      <alignment horizontal="right"/>
    </xf>
    <xf numFmtId="0" fontId="2" fillId="0" borderId="37" xfId="1" applyFont="1" applyBorder="1"/>
    <xf numFmtId="3" fontId="2" fillId="0" borderId="37" xfId="1" applyNumberFormat="1" applyFont="1" applyBorder="1" applyAlignment="1">
      <alignment horizontal="right"/>
    </xf>
    <xf numFmtId="0" fontId="1" fillId="0" borderId="37" xfId="1" applyFont="1" applyBorder="1" applyAlignment="1">
      <alignment shrinkToFit="1"/>
    </xf>
    <xf numFmtId="0" fontId="1" fillId="0" borderId="37" xfId="1" applyFont="1" applyBorder="1" applyAlignment="1">
      <alignment horizontal="right"/>
    </xf>
    <xf numFmtId="0" fontId="1" fillId="3" borderId="37" xfId="1" applyFont="1" applyFill="1" applyBorder="1" applyAlignment="1">
      <alignment horizontal="left"/>
    </xf>
    <xf numFmtId="3" fontId="1" fillId="0" borderId="38" xfId="1" applyNumberFormat="1" applyFont="1" applyBorder="1" applyAlignment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>
      <alignment horizontal="center"/>
    </xf>
    <xf numFmtId="3" fontId="1" fillId="0" borderId="68" xfId="1" applyNumberFormat="1" applyFont="1" applyBorder="1" applyAlignment="1">
      <alignment horizontal="right"/>
    </xf>
    <xf numFmtId="3" fontId="2" fillId="0" borderId="68" xfId="1" applyNumberFormat="1" applyFont="1" applyBorder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>
      <alignment horizontal="center"/>
    </xf>
    <xf numFmtId="0" fontId="1" fillId="0" borderId="75" xfId="1" applyFont="1" applyBorder="1"/>
    <xf numFmtId="164" fontId="2" fillId="0" borderId="76" xfId="1" applyNumberFormat="1" applyFont="1" applyBorder="1" applyAlignment="1">
      <alignment horizontal="right"/>
    </xf>
    <xf numFmtId="0" fontId="1" fillId="3" borderId="75" xfId="1" applyFont="1" applyFill="1" applyBorder="1"/>
    <xf numFmtId="0" fontId="1" fillId="0" borderId="77" xfId="1" applyFont="1" applyBorder="1"/>
    <xf numFmtId="0" fontId="1" fillId="0" borderId="78" xfId="1" applyFont="1" applyBorder="1"/>
    <xf numFmtId="0" fontId="2" fillId="0" borderId="40" xfId="1" applyFont="1" applyBorder="1"/>
    <xf numFmtId="0" fontId="1" fillId="0" borderId="74" xfId="1" applyFont="1" applyBorder="1"/>
    <xf numFmtId="0" fontId="1" fillId="0" borderId="74" xfId="1" applyFont="1" applyBorder="1" applyAlignment="1">
      <alignment shrinkToFit="1"/>
    </xf>
    <xf numFmtId="0" fontId="1" fillId="3" borderId="75" xfId="1" applyFont="1" applyFill="1" applyBorder="1" applyAlignment="1">
      <alignment horizontal="left"/>
    </xf>
    <xf numFmtId="0" fontId="1" fillId="0" borderId="75" xfId="1" applyFont="1" applyBorder="1" applyAlignment="1">
      <alignment horizontal="left"/>
    </xf>
    <xf numFmtId="0" fontId="1" fillId="0" borderId="42" xfId="1" applyFont="1" applyBorder="1"/>
    <xf numFmtId="49" fontId="1" fillId="0" borderId="37" xfId="2" applyNumberFormat="1" applyFont="1" applyBorder="1" applyAlignment="1">
      <alignment horizontal="left"/>
    </xf>
    <xf numFmtId="3" fontId="2" fillId="0" borderId="79" xfId="1" applyNumberFormat="1" applyFont="1" applyBorder="1" applyAlignment="1">
      <alignment horizontal="center"/>
    </xf>
    <xf numFmtId="3" fontId="2" fillId="0" borderId="80" xfId="1" applyNumberFormat="1" applyFont="1" applyBorder="1" applyAlignment="1">
      <alignment horizontal="center"/>
    </xf>
    <xf numFmtId="3" fontId="1" fillId="0" borderId="79" xfId="1" applyNumberFormat="1" applyFont="1" applyBorder="1" applyAlignment="1">
      <alignment horizontal="right"/>
    </xf>
    <xf numFmtId="3" fontId="1" fillId="0" borderId="80" xfId="1" applyNumberFormat="1" applyFont="1" applyBorder="1" applyAlignment="1">
      <alignment horizontal="right"/>
    </xf>
    <xf numFmtId="3" fontId="2" fillId="0" borderId="81" xfId="1" applyNumberFormat="1" applyFont="1" applyBorder="1" applyAlignment="1">
      <alignment horizontal="right"/>
    </xf>
    <xf numFmtId="3" fontId="2" fillId="0" borderId="76" xfId="1" applyNumberFormat="1" applyFont="1" applyBorder="1" applyAlignment="1">
      <alignment horizontal="right"/>
    </xf>
    <xf numFmtId="3" fontId="2" fillId="0" borderId="79" xfId="1" applyNumberFormat="1" applyFont="1" applyBorder="1" applyAlignment="1">
      <alignment horizontal="right"/>
    </xf>
    <xf numFmtId="3" fontId="2" fillId="0" borderId="80" xfId="1" applyNumberFormat="1" applyFont="1" applyBorder="1" applyAlignment="1">
      <alignment horizontal="right"/>
    </xf>
    <xf numFmtId="3" fontId="2" fillId="3" borderId="79" xfId="1" applyNumberFormat="1" applyFont="1" applyFill="1" applyBorder="1" applyAlignment="1">
      <alignment horizontal="right"/>
    </xf>
    <xf numFmtId="3" fontId="2" fillId="3" borderId="80" xfId="1" applyNumberFormat="1" applyFont="1" applyFill="1" applyBorder="1" applyAlignment="1">
      <alignment horizontal="right"/>
    </xf>
    <xf numFmtId="3" fontId="1" fillId="0" borderId="82" xfId="1" applyNumberFormat="1" applyFont="1" applyBorder="1" applyAlignment="1">
      <alignment horizontal="right"/>
    </xf>
    <xf numFmtId="3" fontId="1" fillId="0" borderId="83" xfId="1" applyNumberFormat="1" applyFont="1" applyBorder="1" applyAlignment="1">
      <alignment horizontal="right"/>
    </xf>
    <xf numFmtId="3" fontId="1" fillId="0" borderId="84" xfId="1" applyNumberFormat="1" applyFont="1" applyBorder="1" applyAlignment="1">
      <alignment horizontal="right"/>
    </xf>
    <xf numFmtId="3" fontId="2" fillId="3" borderId="84" xfId="1" applyNumberFormat="1" applyFont="1" applyFill="1" applyBorder="1" applyAlignment="1">
      <alignment horizontal="right"/>
    </xf>
    <xf numFmtId="3" fontId="2" fillId="3" borderId="85" xfId="1" applyNumberFormat="1" applyFont="1" applyFill="1" applyBorder="1" applyAlignment="1">
      <alignment horizontal="right"/>
    </xf>
    <xf numFmtId="3" fontId="2" fillId="0" borderId="82" xfId="1" applyNumberFormat="1" applyFont="1" applyBorder="1" applyAlignment="1">
      <alignment horizontal="right"/>
    </xf>
    <xf numFmtId="3" fontId="2" fillId="0" borderId="83" xfId="1" applyNumberFormat="1" applyFont="1" applyBorder="1" applyAlignment="1">
      <alignment horizontal="right"/>
    </xf>
    <xf numFmtId="3" fontId="1" fillId="0" borderId="86" xfId="1" applyNumberFormat="1" applyFont="1" applyBorder="1" applyAlignment="1">
      <alignment horizontal="right"/>
    </xf>
    <xf numFmtId="3" fontId="2" fillId="0" borderId="84" xfId="1" applyNumberFormat="1" applyFont="1" applyBorder="1" applyAlignment="1">
      <alignment horizontal="right"/>
    </xf>
    <xf numFmtId="3" fontId="1" fillId="0" borderId="87" xfId="1" applyNumberFormat="1" applyFont="1" applyBorder="1" applyAlignment="1">
      <alignment horizontal="right"/>
    </xf>
    <xf numFmtId="3" fontId="1" fillId="0" borderId="88" xfId="1" applyNumberFormat="1" applyFont="1" applyBorder="1" applyAlignment="1">
      <alignment horizontal="right"/>
    </xf>
    <xf numFmtId="3" fontId="1" fillId="0" borderId="89" xfId="1" applyNumberFormat="1" applyFont="1" applyBorder="1" applyAlignment="1">
      <alignment horizontal="right"/>
    </xf>
    <xf numFmtId="3" fontId="2" fillId="3" borderId="87" xfId="1" applyNumberFormat="1" applyFont="1" applyFill="1" applyBorder="1" applyAlignment="1">
      <alignment horizontal="right"/>
    </xf>
    <xf numFmtId="3" fontId="2" fillId="3" borderId="88" xfId="1" applyNumberFormat="1" applyFont="1" applyFill="1" applyBorder="1" applyAlignment="1">
      <alignment horizontal="right"/>
    </xf>
    <xf numFmtId="3" fontId="2" fillId="3" borderId="89" xfId="1" applyNumberFormat="1" applyFont="1" applyFill="1" applyBorder="1" applyAlignment="1">
      <alignment horizontal="right"/>
    </xf>
    <xf numFmtId="0" fontId="3" fillId="4" borderId="66" xfId="1" applyFont="1" applyFill="1" applyBorder="1"/>
    <xf numFmtId="0" fontId="3" fillId="4" borderId="78" xfId="1" applyFont="1" applyFill="1" applyBorder="1"/>
    <xf numFmtId="3" fontId="12" fillId="4" borderId="81" xfId="1" applyNumberFormat="1" applyFont="1" applyFill="1" applyBorder="1" applyAlignment="1">
      <alignment horizontal="right"/>
    </xf>
    <xf numFmtId="3" fontId="12" fillId="4" borderId="67" xfId="1" applyNumberFormat="1" applyFont="1" applyFill="1" applyBorder="1" applyAlignment="1">
      <alignment horizontal="right"/>
    </xf>
    <xf numFmtId="3" fontId="12" fillId="4" borderId="76" xfId="1" applyNumberFormat="1" applyFont="1" applyFill="1" applyBorder="1" applyAlignment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/>
    <xf numFmtId="0" fontId="1" fillId="0" borderId="0" xfId="3" applyFont="1"/>
    <xf numFmtId="0" fontId="1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/>
    <xf numFmtId="3" fontId="1" fillId="0" borderId="0" xfId="3" applyNumberFormat="1" applyFont="1"/>
    <xf numFmtId="0" fontId="1" fillId="0" borderId="54" xfId="3" applyFont="1" applyBorder="1" applyAlignment="1">
      <alignment horizontal="left"/>
    </xf>
    <xf numFmtId="4" fontId="2" fillId="0" borderId="0" xfId="3" applyNumberFormat="1" applyFont="1"/>
    <xf numFmtId="3" fontId="2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40" xfId="2" applyNumberFormat="1" applyFont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Border="1"/>
    <xf numFmtId="3" fontId="2" fillId="0" borderId="72" xfId="2" applyNumberFormat="1" applyFont="1" applyBorder="1"/>
    <xf numFmtId="3" fontId="2" fillId="0" borderId="91" xfId="2" applyNumberFormat="1" applyFont="1" applyBorder="1"/>
    <xf numFmtId="3" fontId="2" fillId="0" borderId="52" xfId="2" applyNumberFormat="1" applyFont="1" applyBorder="1"/>
    <xf numFmtId="3" fontId="2" fillId="0" borderId="43" xfId="2" applyNumberFormat="1" applyFont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Border="1"/>
    <xf numFmtId="3" fontId="1" fillId="0" borderId="44" xfId="2" applyNumberFormat="1" applyFont="1" applyBorder="1"/>
    <xf numFmtId="3" fontId="2" fillId="0" borderId="49" xfId="2" applyNumberFormat="1" applyFont="1" applyBorder="1"/>
    <xf numFmtId="3" fontId="2" fillId="0" borderId="41" xfId="2" applyNumberFormat="1" applyFont="1" applyBorder="1"/>
    <xf numFmtId="3" fontId="2" fillId="0" borderId="30" xfId="2" applyNumberFormat="1" applyFont="1" applyBorder="1"/>
    <xf numFmtId="3" fontId="2" fillId="0" borderId="42" xfId="2" applyNumberFormat="1" applyFont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3" fontId="2" fillId="4" borderId="65" xfId="1" applyNumberFormat="1" applyFont="1" applyFill="1" applyBorder="1" applyAlignment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167" fontId="0" fillId="5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Alignment="1">
      <alignment horizontal="center"/>
    </xf>
    <xf numFmtId="3" fontId="0" fillId="0" borderId="0" xfId="0" applyNumberFormat="1"/>
    <xf numFmtId="0" fontId="1" fillId="0" borderId="45" xfId="1" applyFont="1" applyBorder="1"/>
    <xf numFmtId="3" fontId="1" fillId="0" borderId="92" xfId="1" applyNumberFormat="1" applyFont="1" applyBorder="1" applyAlignment="1">
      <alignment horizontal="right"/>
    </xf>
    <xf numFmtId="3" fontId="1" fillId="0" borderId="93" xfId="1" applyNumberFormat="1" applyFont="1" applyBorder="1" applyAlignment="1">
      <alignment horizontal="right"/>
    </xf>
    <xf numFmtId="3" fontId="1" fillId="0" borderId="94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1" fillId="0" borderId="40" xfId="2" applyNumberFormat="1" applyFont="1" applyBorder="1" applyAlignment="1">
      <alignment horizontal="left" shrinkToFit="1"/>
    </xf>
    <xf numFmtId="0" fontId="0" fillId="0" borderId="0" xfId="0" applyAlignment="1">
      <alignment horizontal="left"/>
    </xf>
    <xf numFmtId="49" fontId="20" fillId="0" borderId="37" xfId="2" applyNumberFormat="1" applyFont="1" applyBorder="1" applyAlignment="1">
      <alignment horizontal="left"/>
    </xf>
    <xf numFmtId="3" fontId="2" fillId="0" borderId="38" xfId="1" applyNumberFormat="1" applyFont="1" applyBorder="1" applyAlignment="1">
      <alignment horizontal="right"/>
    </xf>
    <xf numFmtId="49" fontId="1" fillId="0" borderId="40" xfId="1" applyNumberFormat="1" applyFont="1" applyBorder="1" applyAlignment="1">
      <alignment shrinkToFit="1"/>
    </xf>
    <xf numFmtId="0" fontId="1" fillId="0" borderId="39" xfId="1" applyFont="1" applyBorder="1" applyAlignment="1">
      <alignment horizontal="right" shrinkToFit="1"/>
    </xf>
    <xf numFmtId="3" fontId="17" fillId="0" borderId="0" xfId="0" applyNumberFormat="1" applyFont="1"/>
    <xf numFmtId="3" fontId="18" fillId="5" borderId="0" xfId="0" applyNumberFormat="1" applyFont="1" applyFill="1"/>
    <xf numFmtId="165" fontId="1" fillId="0" borderId="13" xfId="0" applyNumberFormat="1" applyFont="1" applyBorder="1" applyAlignment="1">
      <alignment horizontal="left" shrinkToFit="1"/>
    </xf>
    <xf numFmtId="164" fontId="1" fillId="0" borderId="13" xfId="0" applyNumberFormat="1" applyFont="1" applyBorder="1" applyAlignment="1">
      <alignment horizontal="left" shrinkToFit="1"/>
    </xf>
    <xf numFmtId="0" fontId="1" fillId="3" borderId="45" xfId="1" applyFont="1" applyFill="1" applyBorder="1"/>
    <xf numFmtId="3" fontId="2" fillId="3" borderId="92" xfId="1" applyNumberFormat="1" applyFont="1" applyFill="1" applyBorder="1" applyAlignment="1">
      <alignment horizontal="right"/>
    </xf>
    <xf numFmtId="3" fontId="2" fillId="3" borderId="93" xfId="1" applyNumberFormat="1" applyFont="1" applyFill="1" applyBorder="1" applyAlignment="1">
      <alignment horizontal="right"/>
    </xf>
    <xf numFmtId="3" fontId="2" fillId="3" borderId="94" xfId="1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2" fillId="0" borderId="49" xfId="1" applyNumberFormat="1" applyFont="1" applyBorder="1" applyAlignment="1">
      <alignment horizontal="center"/>
    </xf>
    <xf numFmtId="164" fontId="2" fillId="0" borderId="41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>
      <alignment horizontal="center"/>
    </xf>
    <xf numFmtId="164" fontId="2" fillId="0" borderId="45" xfId="1" applyNumberFormat="1" applyFont="1" applyBorder="1" applyAlignment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2" fillId="4" borderId="3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_Příjmy město oddíly SR 2000" xfId="3" xr:uid="{00000000-0005-0000-0000-000003000000}"/>
    <cellStyle name="normální_Výdaje SR 200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2023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14474.89</c:v>
                </c:pt>
                <c:pt idx="1">
                  <c:v>817.29300000000001</c:v>
                </c:pt>
                <c:pt idx="2">
                  <c:v>350.65499999999997</c:v>
                </c:pt>
                <c:pt idx="3">
                  <c:v>1803.5989999999999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167073488"/>
        <c:axId val="167073880"/>
      </c:barChart>
      <c:catAx>
        <c:axId val="1670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880"/>
        <c:crosses val="autoZero"/>
        <c:auto val="1"/>
        <c:lblAlgn val="ctr"/>
        <c:lblOffset val="100"/>
        <c:noMultiLvlLbl val="0"/>
      </c:catAx>
      <c:valAx>
        <c:axId val="16707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2023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0-451C-B58F-B72785BAFB4C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0-451C-B58F-B72785BAFB4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0-451C-B58F-B72785BAFB4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20-451C-B58F-B72785BAFB4C}"/>
              </c:ext>
            </c:extLst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0-451C-B58F-B72785BAFB4C}"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0-451C-B58F-B72785BAFB4C}"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0-451C-B58F-B72785BAFB4C}"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0-451C-B58F-B72785BAF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14474.89</c:v>
                </c:pt>
                <c:pt idx="1">
                  <c:v>817.29300000000001</c:v>
                </c:pt>
                <c:pt idx="2">
                  <c:v>350.65499999999997</c:v>
                </c:pt>
                <c:pt idx="3">
                  <c:v>1803.5989999999999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2023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4421894843789688"/>
          <c:y val="1.7587891241805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Výdaje_G!$M$2:$M$14</c:f>
              <c:strCache>
                <c:ptCount val="13"/>
                <c:pt idx="0">
                  <c:v> Zdravotnictví</c:v>
                </c:pt>
                <c:pt idx="1">
                  <c:v> Ostatní výdaje</c:v>
                </c:pt>
                <c:pt idx="2">
                  <c:v> Bezpečnost a veřejný pořádek</c:v>
                </c:pt>
                <c:pt idx="3">
                  <c:v> Finanční operace *)</c:v>
                </c:pt>
                <c:pt idx="4">
                  <c:v> Soc. služby a spol. činnosti v soc. zab.</c:v>
                </c:pt>
                <c:pt idx="5">
                  <c:v> Vodní hospodářství</c:v>
                </c:pt>
                <c:pt idx="6">
                  <c:v> Vzdělávání a školské služby</c:v>
                </c:pt>
                <c:pt idx="7">
                  <c:v> Ochrana životního prostředí</c:v>
                </c:pt>
                <c:pt idx="8">
                  <c:v> Sport a zájmová činnost</c:v>
                </c:pt>
                <c:pt idx="9">
                  <c:v> Kultura, církve a sdělovací prostředky</c:v>
                </c:pt>
                <c:pt idx="10">
                  <c:v> Bydlení, komunální služ. a územ. rozvoj</c:v>
                </c:pt>
                <c:pt idx="11">
                  <c:v> Státní správa a územní samospráva</c:v>
                </c:pt>
                <c:pt idx="12">
                  <c:v> Doprava</c:v>
                </c:pt>
              </c:strCache>
            </c:strRef>
          </c:cat>
          <c:val>
            <c:numRef>
              <c:f>Výdaje_G!$N$2:$N$14</c:f>
              <c:numCache>
                <c:formatCode>#\ ##0.0</c:formatCode>
                <c:ptCount val="13"/>
                <c:pt idx="0">
                  <c:v>364.89100000000002</c:v>
                </c:pt>
                <c:pt idx="1">
                  <c:v>532.39499999999998</c:v>
                </c:pt>
                <c:pt idx="2">
                  <c:v>557.65899999999999</c:v>
                </c:pt>
                <c:pt idx="3">
                  <c:v>665.25199999999995</c:v>
                </c:pt>
                <c:pt idx="4">
                  <c:v>925.12699999999995</c:v>
                </c:pt>
                <c:pt idx="5">
                  <c:v>975.76700000000005</c:v>
                </c:pt>
                <c:pt idx="6">
                  <c:v>1081.5740000000001</c:v>
                </c:pt>
                <c:pt idx="7">
                  <c:v>1083.0519999999999</c:v>
                </c:pt>
                <c:pt idx="8">
                  <c:v>1412.441</c:v>
                </c:pt>
                <c:pt idx="9">
                  <c:v>1815.0940000000001</c:v>
                </c:pt>
                <c:pt idx="10">
                  <c:v>2340.8989999999999</c:v>
                </c:pt>
                <c:pt idx="11">
                  <c:v>2653.6039999999998</c:v>
                </c:pt>
                <c:pt idx="12">
                  <c:v>5406.2830000000004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069312"/>
        <c:axId val="255069704"/>
      </c:barChart>
      <c:catAx>
        <c:axId val="25506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704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55069704"/>
        <c:scaling>
          <c:orientation val="minMax"/>
          <c:max val="5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6931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2023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Výdaje_G!$O$19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accent2"/>
              </a:solidFill>
            </a:ln>
            <a:effectLst/>
          </c:spPr>
          <c:invertIfNegative val="0"/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Vodní hospodářství</c:v>
                </c:pt>
                <c:pt idx="8">
                  <c:v> Soc. služby a spol. činnosti v soc. zab.</c:v>
                </c:pt>
                <c:pt idx="9">
                  <c:v> Finanční operace *)</c:v>
                </c:pt>
                <c:pt idx="10">
                  <c:v> Bezpečnost a veřejný pořádek</c:v>
                </c:pt>
                <c:pt idx="11">
                  <c:v> Ostatní výdaje</c:v>
                </c:pt>
                <c:pt idx="12">
                  <c:v> Zdravotnictví</c:v>
                </c:pt>
              </c:strCache>
            </c:strRef>
          </c:cat>
          <c:val>
            <c:numRef>
              <c:f>Výdaje_G!$O$20:$O$32</c:f>
              <c:numCache>
                <c:formatCode>#\ ##0.0</c:formatCode>
                <c:ptCount val="13"/>
                <c:pt idx="0">
                  <c:v>5080.0820000000003</c:v>
                </c:pt>
                <c:pt idx="1">
                  <c:v>1557.3720000000001</c:v>
                </c:pt>
                <c:pt idx="2">
                  <c:v>1499.8430000000001</c:v>
                </c:pt>
                <c:pt idx="3">
                  <c:v>1702.8219999999999</c:v>
                </c:pt>
                <c:pt idx="4">
                  <c:v>1296.0540000000001</c:v>
                </c:pt>
                <c:pt idx="5">
                  <c:v>738.322</c:v>
                </c:pt>
                <c:pt idx="6">
                  <c:v>162.947</c:v>
                </c:pt>
                <c:pt idx="7">
                  <c:v>969.08100000000002</c:v>
                </c:pt>
                <c:pt idx="8">
                  <c:v>904.81799999999998</c:v>
                </c:pt>
                <c:pt idx="9">
                  <c:v>2867.7979999999998</c:v>
                </c:pt>
                <c:pt idx="10">
                  <c:v>556.04399999999998</c:v>
                </c:pt>
                <c:pt idx="11">
                  <c:v>415.59099999999995</c:v>
                </c:pt>
                <c:pt idx="12">
                  <c:v>344.09300000000002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Výdaje_G!$P$19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Vodní hospodářství</c:v>
                </c:pt>
                <c:pt idx="8">
                  <c:v> Soc. služby a spol. činnosti v soc. zab.</c:v>
                </c:pt>
                <c:pt idx="9">
                  <c:v> Finanční operace *)</c:v>
                </c:pt>
                <c:pt idx="10">
                  <c:v> Bezpečnost a veřejný pořádek</c:v>
                </c:pt>
                <c:pt idx="11">
                  <c:v> Ostatní výdaje</c:v>
                </c:pt>
                <c:pt idx="12">
                  <c:v> Zdravotnictví</c:v>
                </c:pt>
              </c:strCache>
            </c:strRef>
          </c:cat>
          <c:val>
            <c:numRef>
              <c:f>Výdaje_G!$P$20:$P$32</c:f>
              <c:numCache>
                <c:formatCode>#\ ##0.0</c:formatCode>
                <c:ptCount val="13"/>
                <c:pt idx="0">
                  <c:v>326.20100000000002</c:v>
                </c:pt>
                <c:pt idx="1">
                  <c:v>1096.232</c:v>
                </c:pt>
                <c:pt idx="2">
                  <c:v>841.05600000000004</c:v>
                </c:pt>
                <c:pt idx="3">
                  <c:v>112.27200000000001</c:v>
                </c:pt>
                <c:pt idx="4">
                  <c:v>116.387</c:v>
                </c:pt>
                <c:pt idx="5">
                  <c:v>344.73</c:v>
                </c:pt>
                <c:pt idx="6">
                  <c:v>918.62699999999995</c:v>
                </c:pt>
                <c:pt idx="7">
                  <c:v>6.6859999999999999</c:v>
                </c:pt>
                <c:pt idx="8">
                  <c:v>20.309000000000001</c:v>
                </c:pt>
                <c:pt idx="9">
                  <c:v>81.935000000000002</c:v>
                </c:pt>
                <c:pt idx="10">
                  <c:v>1.615</c:v>
                </c:pt>
                <c:pt idx="11">
                  <c:v>116.80399999999999</c:v>
                </c:pt>
                <c:pt idx="12">
                  <c:v>20.797999999999998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55070488"/>
        <c:axId val="255070880"/>
      </c:barChart>
      <c:lineChart>
        <c:grouping val="stacked"/>
        <c:varyColors val="0"/>
        <c:ser>
          <c:idx val="0"/>
          <c:order val="0"/>
          <c:tx>
            <c:strRef>
              <c:f>Výdaje_G!$N$19</c:f>
              <c:strCache>
                <c:ptCount val="1"/>
                <c:pt idx="0">
                  <c:v> SMB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2225">
                <a:solidFill>
                  <a:srgbClr val="C00000"/>
                </a:solidFill>
              </a:ln>
              <a:effectLst/>
            </c:spPr>
          </c:marker>
          <c:cat>
            <c:strRef>
              <c:f>Výdaje_G!$M$20:$M$32</c:f>
              <c:strCache>
                <c:ptCount val="13"/>
                <c:pt idx="0">
                  <c:v> Doprava</c:v>
                </c:pt>
                <c:pt idx="1">
                  <c:v> Státní správa a územní samospráva</c:v>
                </c:pt>
                <c:pt idx="2">
                  <c:v> Bydlení, komunální služ. a územ. rozvoj</c:v>
                </c:pt>
                <c:pt idx="3">
                  <c:v> Kultura, církve a sdělovací prostředky</c:v>
                </c:pt>
                <c:pt idx="4">
                  <c:v> Sport a zájmová činnost</c:v>
                </c:pt>
                <c:pt idx="5">
                  <c:v> Ochrana životního prostředí</c:v>
                </c:pt>
                <c:pt idx="6">
                  <c:v> Vzdělávání a školské služby</c:v>
                </c:pt>
                <c:pt idx="7">
                  <c:v> Vodní hospodářství</c:v>
                </c:pt>
                <c:pt idx="8">
                  <c:v> Soc. služby a spol. činnosti v soc. zab.</c:v>
                </c:pt>
                <c:pt idx="9">
                  <c:v> Finanční operace *)</c:v>
                </c:pt>
                <c:pt idx="10">
                  <c:v> Bezpečnost a veřejný pořádek</c:v>
                </c:pt>
                <c:pt idx="11">
                  <c:v> Ostatní výdaje</c:v>
                </c:pt>
                <c:pt idx="12">
                  <c:v> Zdravotnictví</c:v>
                </c:pt>
              </c:strCache>
            </c:strRef>
          </c:cat>
          <c:val>
            <c:numRef>
              <c:f>Výdaje_G!$N$20:$N$32</c:f>
              <c:numCache>
                <c:formatCode>#\ ##0.0</c:formatCode>
                <c:ptCount val="13"/>
                <c:pt idx="0">
                  <c:v>5406.2830000000004</c:v>
                </c:pt>
                <c:pt idx="1">
                  <c:v>2653.6039999999998</c:v>
                </c:pt>
                <c:pt idx="2">
                  <c:v>2340.8989999999999</c:v>
                </c:pt>
                <c:pt idx="3">
                  <c:v>1815.0940000000001</c:v>
                </c:pt>
                <c:pt idx="4">
                  <c:v>1412.441</c:v>
                </c:pt>
                <c:pt idx="5">
                  <c:v>1083.0519999999999</c:v>
                </c:pt>
                <c:pt idx="6">
                  <c:v>1081.5740000000001</c:v>
                </c:pt>
                <c:pt idx="7">
                  <c:v>975.76700000000005</c:v>
                </c:pt>
                <c:pt idx="8">
                  <c:v>925.12699999999995</c:v>
                </c:pt>
                <c:pt idx="9">
                  <c:v>665.25199999999995</c:v>
                </c:pt>
                <c:pt idx="10">
                  <c:v>557.65899999999999</c:v>
                </c:pt>
                <c:pt idx="11">
                  <c:v>532.39499999999998</c:v>
                </c:pt>
                <c:pt idx="12">
                  <c:v>364.89100000000002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070488"/>
        <c:axId val="255070880"/>
      </c:lineChart>
      <c:catAx>
        <c:axId val="255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880"/>
        <c:crosses val="autoZero"/>
        <c:auto val="1"/>
        <c:lblAlgn val="ctr"/>
        <c:lblOffset val="100"/>
        <c:noMultiLvlLbl val="0"/>
      </c:catAx>
      <c:valAx>
        <c:axId val="255070880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55070488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5627041214442794"/>
          <c:y val="0.1622531798909751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56</xdr:row>
      <xdr:rowOff>76201</xdr:rowOff>
    </xdr:from>
    <xdr:to>
      <xdr:col>9</xdr:col>
      <xdr:colOff>323850</xdr:colOff>
      <xdr:row>57</xdr:row>
      <xdr:rowOff>142876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238375" y="91440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4"/>
  <sheetViews>
    <sheetView tabSelected="1" zoomScaleNormal="100" zoomScaleSheetLayoutView="100" workbookViewId="0">
      <selection activeCell="C23" sqref="C23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4.42578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403" t="s">
        <v>0</v>
      </c>
      <c r="B1" s="403"/>
      <c r="C1" s="403"/>
      <c r="D1" s="403"/>
      <c r="E1" s="403"/>
      <c r="F1" s="403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398" t="s">
        <v>4</v>
      </c>
      <c r="D3" s="395" t="s">
        <v>438</v>
      </c>
      <c r="E3" s="396"/>
      <c r="F3" s="397"/>
    </row>
    <row r="4" spans="1:6" x14ac:dyDescent="0.2">
      <c r="A4" s="6" t="s">
        <v>2</v>
      </c>
      <c r="B4" s="7" t="s">
        <v>3</v>
      </c>
      <c r="C4" s="399"/>
      <c r="D4" s="401" t="s">
        <v>81</v>
      </c>
      <c r="E4" s="401" t="s">
        <v>6</v>
      </c>
      <c r="F4" s="401" t="s">
        <v>7</v>
      </c>
    </row>
    <row r="5" spans="1:6" ht="13.5" thickBot="1" x14ac:dyDescent="0.25">
      <c r="A5" s="8"/>
      <c r="B5" s="9" t="s">
        <v>5</v>
      </c>
      <c r="C5" s="400"/>
      <c r="D5" s="402"/>
      <c r="E5" s="402"/>
      <c r="F5" s="402"/>
    </row>
    <row r="6" spans="1:6" x14ac:dyDescent="0.2">
      <c r="A6" s="10">
        <v>1</v>
      </c>
      <c r="B6" s="11">
        <v>1111</v>
      </c>
      <c r="C6" s="12" t="s">
        <v>359</v>
      </c>
      <c r="D6" s="13">
        <f t="shared" ref="D6:D11" si="0">+E6+F6</f>
        <v>2230000</v>
      </c>
      <c r="E6" s="13">
        <v>2230000</v>
      </c>
      <c r="F6" s="13"/>
    </row>
    <row r="7" spans="1:6" x14ac:dyDescent="0.2">
      <c r="A7" s="14">
        <v>2</v>
      </c>
      <c r="B7" s="15">
        <v>1112</v>
      </c>
      <c r="C7" s="16" t="s">
        <v>360</v>
      </c>
      <c r="D7" s="17">
        <f t="shared" si="0"/>
        <v>140000</v>
      </c>
      <c r="E7" s="18">
        <v>140000</v>
      </c>
      <c r="F7" s="18"/>
    </row>
    <row r="8" spans="1:6" x14ac:dyDescent="0.2">
      <c r="A8" s="10">
        <v>3</v>
      </c>
      <c r="B8" s="15">
        <v>1113</v>
      </c>
      <c r="C8" s="16" t="s">
        <v>361</v>
      </c>
      <c r="D8" s="17">
        <f t="shared" si="0"/>
        <v>390000</v>
      </c>
      <c r="E8" s="18">
        <v>390000</v>
      </c>
      <c r="F8" s="18"/>
    </row>
    <row r="9" spans="1:6" x14ac:dyDescent="0.2">
      <c r="A9" s="14">
        <v>4</v>
      </c>
      <c r="B9" s="15">
        <v>1121</v>
      </c>
      <c r="C9" s="16" t="s">
        <v>362</v>
      </c>
      <c r="D9" s="17">
        <f t="shared" si="0"/>
        <v>3190000</v>
      </c>
      <c r="E9" s="18">
        <v>3190000</v>
      </c>
      <c r="F9" s="18"/>
    </row>
    <row r="10" spans="1:6" x14ac:dyDescent="0.2">
      <c r="A10" s="10">
        <v>5</v>
      </c>
      <c r="B10" s="15">
        <v>1211</v>
      </c>
      <c r="C10" s="16" t="s">
        <v>363</v>
      </c>
      <c r="D10" s="17">
        <f t="shared" si="0"/>
        <v>7400000</v>
      </c>
      <c r="E10" s="18">
        <v>7400000</v>
      </c>
      <c r="F10" s="18"/>
    </row>
    <row r="11" spans="1:6" x14ac:dyDescent="0.2">
      <c r="A11" s="14">
        <v>6</v>
      </c>
      <c r="B11" s="15">
        <v>1511</v>
      </c>
      <c r="C11" s="19" t="s">
        <v>364</v>
      </c>
      <c r="D11" s="17">
        <f t="shared" si="0"/>
        <v>250000</v>
      </c>
      <c r="E11" s="18">
        <v>250000</v>
      </c>
      <c r="F11" s="18"/>
    </row>
    <row r="12" spans="1:6" ht="13.5" thickBot="1" x14ac:dyDescent="0.25">
      <c r="A12" s="10">
        <v>7</v>
      </c>
      <c r="B12" s="20"/>
      <c r="C12" s="21" t="s">
        <v>8</v>
      </c>
      <c r="D12" s="22">
        <f>SUM(D6:D11)</f>
        <v>13600000</v>
      </c>
      <c r="E12" s="23">
        <f>SUM(E6:E11)</f>
        <v>13600000</v>
      </c>
      <c r="F12" s="23"/>
    </row>
    <row r="13" spans="1:6" x14ac:dyDescent="0.2">
      <c r="A13" s="14">
        <v>8</v>
      </c>
      <c r="B13" s="15">
        <v>1122</v>
      </c>
      <c r="C13" s="16" t="s">
        <v>365</v>
      </c>
      <c r="D13" s="17">
        <f t="shared" ref="D13:D19" si="1">+E13+F13</f>
        <v>86518</v>
      </c>
      <c r="E13" s="18"/>
      <c r="F13" s="24">
        <v>86518</v>
      </c>
    </row>
    <row r="14" spans="1:6" x14ac:dyDescent="0.2">
      <c r="A14" s="10">
        <v>9</v>
      </c>
      <c r="B14" s="15">
        <v>1122</v>
      </c>
      <c r="C14" s="16" t="s">
        <v>366</v>
      </c>
      <c r="D14" s="17">
        <f t="shared" si="1"/>
        <v>266513</v>
      </c>
      <c r="E14" s="18">
        <v>250000</v>
      </c>
      <c r="F14" s="24">
        <v>16513</v>
      </c>
    </row>
    <row r="15" spans="1:6" x14ac:dyDescent="0.2">
      <c r="A15" s="14">
        <v>10</v>
      </c>
      <c r="B15" s="25" t="s">
        <v>10</v>
      </c>
      <c r="C15" s="26" t="s">
        <v>367</v>
      </c>
      <c r="D15" s="17">
        <f t="shared" si="1"/>
        <v>2030</v>
      </c>
      <c r="E15" s="18">
        <v>2030</v>
      </c>
      <c r="F15" s="24"/>
    </row>
    <row r="16" spans="1:6" x14ac:dyDescent="0.2">
      <c r="A16" s="10">
        <v>11</v>
      </c>
      <c r="B16" s="25" t="s">
        <v>11</v>
      </c>
      <c r="C16" s="19" t="s">
        <v>368</v>
      </c>
      <c r="D16" s="17">
        <f t="shared" si="1"/>
        <v>298772</v>
      </c>
      <c r="E16" s="18">
        <v>224823</v>
      </c>
      <c r="F16" s="24">
        <v>73949</v>
      </c>
    </row>
    <row r="17" spans="1:6" x14ac:dyDescent="0.2">
      <c r="A17" s="14">
        <v>12</v>
      </c>
      <c r="B17" s="25" t="s">
        <v>12</v>
      </c>
      <c r="C17" s="19" t="s">
        <v>369</v>
      </c>
      <c r="D17" s="17">
        <f t="shared" si="1"/>
        <v>3900</v>
      </c>
      <c r="E17" s="27">
        <v>3900</v>
      </c>
      <c r="F17" s="28"/>
    </row>
    <row r="18" spans="1:6" x14ac:dyDescent="0.2">
      <c r="A18" s="10">
        <v>13</v>
      </c>
      <c r="B18" s="15">
        <v>1361</v>
      </c>
      <c r="C18" s="19" t="s">
        <v>370</v>
      </c>
      <c r="D18" s="17">
        <f t="shared" ref="D18" si="2">+E18+F18</f>
        <v>87157</v>
      </c>
      <c r="E18" s="27">
        <v>72727</v>
      </c>
      <c r="F18" s="28">
        <v>14430</v>
      </c>
    </row>
    <row r="19" spans="1:6" x14ac:dyDescent="0.2">
      <c r="A19" s="10">
        <v>14</v>
      </c>
      <c r="B19" s="25" t="s">
        <v>311</v>
      </c>
      <c r="C19" s="389" t="s">
        <v>371</v>
      </c>
      <c r="D19" s="17">
        <f t="shared" si="1"/>
        <v>130000</v>
      </c>
      <c r="E19" s="27">
        <v>130000</v>
      </c>
      <c r="F19" s="28"/>
    </row>
    <row r="20" spans="1:6" ht="13.5" thickBot="1" x14ac:dyDescent="0.25">
      <c r="A20" s="14">
        <v>15</v>
      </c>
      <c r="B20" s="29" t="s">
        <v>13</v>
      </c>
      <c r="C20" s="30" t="s">
        <v>312</v>
      </c>
      <c r="D20" s="31">
        <f>SUM(D12:D19)</f>
        <v>14474890</v>
      </c>
      <c r="E20" s="32">
        <f>SUM(E12:E19)</f>
        <v>14283480</v>
      </c>
      <c r="F20" s="32">
        <f>SUM(F13:F19)</f>
        <v>191410</v>
      </c>
    </row>
    <row r="21" spans="1:6" x14ac:dyDescent="0.2">
      <c r="A21" s="10">
        <v>16</v>
      </c>
      <c r="B21" s="33" t="s">
        <v>14</v>
      </c>
      <c r="C21" s="34" t="s">
        <v>372</v>
      </c>
      <c r="D21" s="17">
        <f t="shared" ref="D21:D26" si="3">+E21+F21</f>
        <v>146803</v>
      </c>
      <c r="E21" s="13">
        <v>123757</v>
      </c>
      <c r="F21" s="35">
        <v>23046</v>
      </c>
    </row>
    <row r="22" spans="1:6" x14ac:dyDescent="0.2">
      <c r="A22" s="14">
        <v>17</v>
      </c>
      <c r="B22" s="33" t="s">
        <v>15</v>
      </c>
      <c r="C22" s="34" t="s">
        <v>459</v>
      </c>
      <c r="D22" s="17">
        <f t="shared" si="3"/>
        <v>137506</v>
      </c>
      <c r="E22" s="13">
        <v>120271</v>
      </c>
      <c r="F22" s="35">
        <v>17235</v>
      </c>
    </row>
    <row r="23" spans="1:6" x14ac:dyDescent="0.2">
      <c r="A23" s="10">
        <v>18</v>
      </c>
      <c r="B23" s="25" t="s">
        <v>16</v>
      </c>
      <c r="C23" s="26" t="s">
        <v>373</v>
      </c>
      <c r="D23" s="17">
        <f t="shared" si="3"/>
        <v>249224</v>
      </c>
      <c r="E23" s="18">
        <v>153017</v>
      </c>
      <c r="F23" s="24">
        <v>96207</v>
      </c>
    </row>
    <row r="24" spans="1:6" x14ac:dyDescent="0.2">
      <c r="A24" s="14">
        <v>19</v>
      </c>
      <c r="B24" s="25" t="s">
        <v>17</v>
      </c>
      <c r="C24" s="26" t="s">
        <v>374</v>
      </c>
      <c r="D24" s="17">
        <f t="shared" si="3"/>
        <v>72618</v>
      </c>
      <c r="E24" s="18">
        <v>55066</v>
      </c>
      <c r="F24" s="24">
        <v>17552</v>
      </c>
    </row>
    <row r="25" spans="1:6" x14ac:dyDescent="0.2">
      <c r="A25" s="10">
        <v>20</v>
      </c>
      <c r="B25" s="25" t="s">
        <v>18</v>
      </c>
      <c r="C25" s="26" t="s">
        <v>19</v>
      </c>
      <c r="D25" s="17">
        <f t="shared" si="3"/>
        <v>74474</v>
      </c>
      <c r="E25" s="18">
        <v>71145</v>
      </c>
      <c r="F25" s="24">
        <v>3329</v>
      </c>
    </row>
    <row r="26" spans="1:6" x14ac:dyDescent="0.2">
      <c r="A26" s="10">
        <v>21</v>
      </c>
      <c r="B26" s="36" t="s">
        <v>20</v>
      </c>
      <c r="C26" s="19" t="s">
        <v>21</v>
      </c>
      <c r="D26" s="17">
        <f t="shared" si="3"/>
        <v>136668</v>
      </c>
      <c r="E26" s="18">
        <v>124669</v>
      </c>
      <c r="F26" s="24">
        <v>11999</v>
      </c>
    </row>
    <row r="27" spans="1:6" ht="13.5" thickBot="1" x14ac:dyDescent="0.25">
      <c r="A27" s="14">
        <v>22</v>
      </c>
      <c r="B27" s="29" t="s">
        <v>22</v>
      </c>
      <c r="C27" s="30" t="s">
        <v>313</v>
      </c>
      <c r="D27" s="31">
        <f>SUM(D21:D26)</f>
        <v>817293</v>
      </c>
      <c r="E27" s="32">
        <f>SUM(E21:E26)</f>
        <v>647925</v>
      </c>
      <c r="F27" s="32">
        <f>SUM(F21:F26)</f>
        <v>169368</v>
      </c>
    </row>
    <row r="28" spans="1:6" x14ac:dyDescent="0.2">
      <c r="A28" s="10">
        <v>23</v>
      </c>
      <c r="B28" s="33" t="s">
        <v>23</v>
      </c>
      <c r="C28" s="37" t="s">
        <v>24</v>
      </c>
      <c r="D28" s="17">
        <f>+E28+F28</f>
        <v>350650</v>
      </c>
      <c r="E28" s="13">
        <v>350600</v>
      </c>
      <c r="F28" s="35">
        <v>50</v>
      </c>
    </row>
    <row r="29" spans="1:6" x14ac:dyDescent="0.2">
      <c r="A29" s="57">
        <v>24</v>
      </c>
      <c r="B29" s="25" t="s">
        <v>25</v>
      </c>
      <c r="C29" s="26" t="s">
        <v>26</v>
      </c>
      <c r="D29" s="54">
        <f>+E29+F29</f>
        <v>5</v>
      </c>
      <c r="E29" s="18"/>
      <c r="F29" s="24">
        <v>5</v>
      </c>
    </row>
    <row r="30" spans="1:6" ht="13.5" thickBot="1" x14ac:dyDescent="0.25">
      <c r="A30" s="14">
        <v>25</v>
      </c>
      <c r="B30" s="29" t="s">
        <v>27</v>
      </c>
      <c r="C30" s="30" t="s">
        <v>383</v>
      </c>
      <c r="D30" s="31">
        <f>SUM(D28:D29)</f>
        <v>350655</v>
      </c>
      <c r="E30" s="32">
        <f>SUM(E28:E29)</f>
        <v>350600</v>
      </c>
      <c r="F30" s="32">
        <f>SUM(F28:F29)</f>
        <v>55</v>
      </c>
    </row>
    <row r="31" spans="1:6" ht="13.5" thickBot="1" x14ac:dyDescent="0.25">
      <c r="A31" s="14">
        <v>26</v>
      </c>
      <c r="B31" s="38"/>
      <c r="C31" s="39" t="s">
        <v>384</v>
      </c>
      <c r="D31" s="40">
        <f>+D20+D27+D30</f>
        <v>15642838</v>
      </c>
      <c r="E31" s="41">
        <f>+E20+E27+E30</f>
        <v>15282005</v>
      </c>
      <c r="F31" s="41">
        <f>+F20+F27+F30</f>
        <v>360833</v>
      </c>
    </row>
    <row r="32" spans="1:6" x14ac:dyDescent="0.2">
      <c r="A32" s="10">
        <v>27</v>
      </c>
      <c r="B32" s="11">
        <v>4112</v>
      </c>
      <c r="C32" s="34" t="s">
        <v>377</v>
      </c>
      <c r="D32" s="17">
        <f>+E32+F32</f>
        <v>411761</v>
      </c>
      <c r="E32" s="13">
        <v>200238</v>
      </c>
      <c r="F32" s="35">
        <v>211523</v>
      </c>
    </row>
    <row r="33" spans="1:7" x14ac:dyDescent="0.2">
      <c r="A33" s="14">
        <v>28</v>
      </c>
      <c r="B33" s="11">
        <v>4116</v>
      </c>
      <c r="C33" s="34" t="s">
        <v>28</v>
      </c>
      <c r="D33" s="17">
        <f>+E33+F33</f>
        <v>3284</v>
      </c>
      <c r="E33" s="13"/>
      <c r="F33" s="35">
        <v>3284</v>
      </c>
    </row>
    <row r="34" spans="1:7" x14ac:dyDescent="0.2">
      <c r="A34" s="10">
        <v>29</v>
      </c>
      <c r="B34" s="11">
        <v>4121</v>
      </c>
      <c r="C34" s="34" t="s">
        <v>376</v>
      </c>
      <c r="D34" s="17">
        <f>+E34+F34</f>
        <v>90</v>
      </c>
      <c r="E34" s="13">
        <v>25</v>
      </c>
      <c r="F34" s="35">
        <v>65</v>
      </c>
    </row>
    <row r="35" spans="1:7" x14ac:dyDescent="0.2">
      <c r="A35" s="14">
        <v>30</v>
      </c>
      <c r="B35" s="11">
        <v>4131</v>
      </c>
      <c r="C35" s="34" t="s">
        <v>375</v>
      </c>
      <c r="D35" s="17">
        <f>+E35+F35</f>
        <v>1388464</v>
      </c>
      <c r="E35" s="13">
        <v>902897</v>
      </c>
      <c r="F35" s="35">
        <v>485567</v>
      </c>
    </row>
    <row r="36" spans="1:7" x14ac:dyDescent="0.2">
      <c r="A36" s="10">
        <v>31</v>
      </c>
      <c r="B36" s="11">
        <v>4137</v>
      </c>
      <c r="C36" s="42" t="s">
        <v>337</v>
      </c>
      <c r="D36" s="43" t="s">
        <v>29</v>
      </c>
      <c r="E36" s="13"/>
      <c r="F36" s="35">
        <v>1960058</v>
      </c>
    </row>
    <row r="37" spans="1:7" x14ac:dyDescent="0.2">
      <c r="A37" s="14">
        <v>32</v>
      </c>
      <c r="B37" s="11">
        <v>4137</v>
      </c>
      <c r="C37" s="42" t="s">
        <v>338</v>
      </c>
      <c r="D37" s="43" t="s">
        <v>29</v>
      </c>
      <c r="E37" s="13"/>
      <c r="F37" s="35">
        <v>474</v>
      </c>
    </row>
    <row r="38" spans="1:7" x14ac:dyDescent="0.2">
      <c r="A38" s="10">
        <v>33</v>
      </c>
      <c r="B38" s="11">
        <v>4137</v>
      </c>
      <c r="C38" s="16" t="s">
        <v>343</v>
      </c>
      <c r="D38" s="43" t="s">
        <v>29</v>
      </c>
      <c r="E38" s="13">
        <v>57209</v>
      </c>
      <c r="F38" s="35"/>
    </row>
    <row r="39" spans="1:7" x14ac:dyDescent="0.2">
      <c r="A39" s="10">
        <v>34</v>
      </c>
      <c r="B39" s="11">
        <v>4251</v>
      </c>
      <c r="C39" s="16" t="s">
        <v>340</v>
      </c>
      <c r="D39" s="43" t="s">
        <v>29</v>
      </c>
      <c r="E39" s="13"/>
      <c r="F39" s="35">
        <v>266740</v>
      </c>
    </row>
    <row r="40" spans="1:7" ht="13.5" thickBot="1" x14ac:dyDescent="0.25">
      <c r="A40" s="14">
        <v>35</v>
      </c>
      <c r="B40" s="29" t="s">
        <v>30</v>
      </c>
      <c r="C40" s="30" t="s">
        <v>385</v>
      </c>
      <c r="D40" s="32">
        <f>SUM(D32:D39)</f>
        <v>1803599</v>
      </c>
      <c r="E40" s="32">
        <f>SUM(E32:E39)</f>
        <v>1160369</v>
      </c>
      <c r="F40" s="32">
        <f>SUM(F32:F39)</f>
        <v>2927711</v>
      </c>
    </row>
    <row r="41" spans="1:7" ht="13.5" thickBot="1" x14ac:dyDescent="0.25">
      <c r="A41" s="44">
        <v>36</v>
      </c>
      <c r="B41" s="45" t="s">
        <v>31</v>
      </c>
      <c r="C41" s="46" t="s">
        <v>386</v>
      </c>
      <c r="D41" s="47">
        <f>+D31+D40</f>
        <v>17446437</v>
      </c>
      <c r="E41" s="47">
        <f>+E31+E40</f>
        <v>16442374</v>
      </c>
      <c r="F41" s="47">
        <f>+F31+F40</f>
        <v>3288544</v>
      </c>
      <c r="G41" s="375"/>
    </row>
    <row r="42" spans="1:7" ht="13.5" thickBot="1" x14ac:dyDescent="0.25">
      <c r="A42" s="48"/>
      <c r="B42" s="49"/>
      <c r="C42" s="50"/>
      <c r="D42" s="50"/>
      <c r="E42" s="50"/>
      <c r="F42" s="50"/>
    </row>
    <row r="43" spans="1:7" ht="13.5" thickBot="1" x14ac:dyDescent="0.25">
      <c r="A43" s="4"/>
      <c r="B43" s="5" t="s">
        <v>1</v>
      </c>
      <c r="C43" s="398" t="s">
        <v>32</v>
      </c>
      <c r="D43" s="395" t="str">
        <f>$D$3</f>
        <v>SCHVÁLENÝ ROZPOČET 2023</v>
      </c>
      <c r="E43" s="396"/>
      <c r="F43" s="397"/>
    </row>
    <row r="44" spans="1:7" x14ac:dyDescent="0.2">
      <c r="A44" s="6" t="s">
        <v>2</v>
      </c>
      <c r="B44" s="7" t="s">
        <v>3</v>
      </c>
      <c r="C44" s="399"/>
      <c r="D44" s="401" t="s">
        <v>81</v>
      </c>
      <c r="E44" s="401" t="s">
        <v>6</v>
      </c>
      <c r="F44" s="401" t="s">
        <v>7</v>
      </c>
    </row>
    <row r="45" spans="1:7" ht="13.5" thickBot="1" x14ac:dyDescent="0.25">
      <c r="A45" s="8"/>
      <c r="B45" s="9" t="s">
        <v>5</v>
      </c>
      <c r="C45" s="400"/>
      <c r="D45" s="402"/>
      <c r="E45" s="402"/>
      <c r="F45" s="402"/>
    </row>
    <row r="46" spans="1:7" x14ac:dyDescent="0.2">
      <c r="A46" s="51">
        <v>1</v>
      </c>
      <c r="B46" s="52" t="s">
        <v>334</v>
      </c>
      <c r="C46" s="53" t="s">
        <v>378</v>
      </c>
      <c r="D46" s="54">
        <f t="shared" ref="D46:D52" si="4">+E46+F46</f>
        <v>2088170</v>
      </c>
      <c r="E46" s="55">
        <f>1004555+362599</f>
        <v>1367154</v>
      </c>
      <c r="F46" s="56">
        <f>511687+209329</f>
        <v>721016</v>
      </c>
    </row>
    <row r="47" spans="1:7" x14ac:dyDescent="0.2">
      <c r="A47" s="14">
        <v>2</v>
      </c>
      <c r="B47" s="25" t="s">
        <v>33</v>
      </c>
      <c r="C47" s="26" t="s">
        <v>379</v>
      </c>
      <c r="D47" s="54">
        <f t="shared" si="4"/>
        <v>187611</v>
      </c>
      <c r="E47" s="18">
        <v>40024</v>
      </c>
      <c r="F47" s="24">
        <v>147587</v>
      </c>
    </row>
    <row r="48" spans="1:7" x14ac:dyDescent="0.2">
      <c r="A48" s="57">
        <v>3</v>
      </c>
      <c r="B48" s="58" t="s">
        <v>34</v>
      </c>
      <c r="C48" s="42" t="s">
        <v>35</v>
      </c>
      <c r="D48" s="54">
        <f t="shared" si="4"/>
        <v>391647</v>
      </c>
      <c r="E48" s="59">
        <v>388700</v>
      </c>
      <c r="F48" s="56">
        <v>2947</v>
      </c>
    </row>
    <row r="49" spans="1:6" x14ac:dyDescent="0.2">
      <c r="A49" s="14">
        <v>4</v>
      </c>
      <c r="B49" s="25" t="s">
        <v>36</v>
      </c>
      <c r="C49" s="16" t="s">
        <v>380</v>
      </c>
      <c r="D49" s="54">
        <f t="shared" si="4"/>
        <v>2316171</v>
      </c>
      <c r="E49" s="18">
        <v>1707281</v>
      </c>
      <c r="F49" s="24">
        <v>608890</v>
      </c>
    </row>
    <row r="50" spans="1:6" x14ac:dyDescent="0.2">
      <c r="A50" s="57">
        <v>5</v>
      </c>
      <c r="B50" s="25">
        <v>5171</v>
      </c>
      <c r="C50" s="16" t="s">
        <v>37</v>
      </c>
      <c r="D50" s="54">
        <f t="shared" si="4"/>
        <v>779191</v>
      </c>
      <c r="E50" s="18">
        <v>554430</v>
      </c>
      <c r="F50" s="24">
        <v>224761</v>
      </c>
    </row>
    <row r="51" spans="1:6" x14ac:dyDescent="0.2">
      <c r="A51" s="14">
        <v>6</v>
      </c>
      <c r="B51" s="58">
        <v>5213</v>
      </c>
      <c r="C51" s="42" t="s">
        <v>381</v>
      </c>
      <c r="D51" s="54">
        <f t="shared" si="4"/>
        <v>2750000</v>
      </c>
      <c r="E51" s="60">
        <v>2750000</v>
      </c>
      <c r="F51" s="61"/>
    </row>
    <row r="52" spans="1:6" x14ac:dyDescent="0.2">
      <c r="A52" s="14">
        <v>7</v>
      </c>
      <c r="B52" s="58" t="s">
        <v>38</v>
      </c>
      <c r="C52" s="42" t="s">
        <v>382</v>
      </c>
      <c r="D52" s="17">
        <f t="shared" si="4"/>
        <v>563877</v>
      </c>
      <c r="E52" s="27">
        <v>544297</v>
      </c>
      <c r="F52" s="28">
        <v>19580</v>
      </c>
    </row>
    <row r="53" spans="1:6" x14ac:dyDescent="0.2">
      <c r="A53" s="57">
        <v>8</v>
      </c>
      <c r="B53" s="62">
        <v>5331</v>
      </c>
      <c r="C53" s="42" t="s">
        <v>39</v>
      </c>
      <c r="D53" s="17">
        <f>+E53+F53</f>
        <v>2898877</v>
      </c>
      <c r="E53" s="27">
        <v>2295328</v>
      </c>
      <c r="F53" s="28">
        <v>603549</v>
      </c>
    </row>
    <row r="54" spans="1:6" x14ac:dyDescent="0.2">
      <c r="A54" s="57">
        <v>9</v>
      </c>
      <c r="B54" s="58">
        <v>5347</v>
      </c>
      <c r="C54" s="42" t="s">
        <v>337</v>
      </c>
      <c r="D54" s="43" t="s">
        <v>29</v>
      </c>
      <c r="E54" s="27">
        <v>1960058</v>
      </c>
      <c r="F54" s="28"/>
    </row>
    <row r="55" spans="1:6" x14ac:dyDescent="0.2">
      <c r="A55" s="14">
        <v>10</v>
      </c>
      <c r="B55" s="58">
        <v>5347</v>
      </c>
      <c r="C55" s="42" t="s">
        <v>338</v>
      </c>
      <c r="D55" s="43" t="s">
        <v>29</v>
      </c>
      <c r="E55" s="27"/>
      <c r="F55" s="28">
        <v>474</v>
      </c>
    </row>
    <row r="56" spans="1:6" x14ac:dyDescent="0.2">
      <c r="A56" s="57">
        <v>11</v>
      </c>
      <c r="B56" s="58">
        <v>5347</v>
      </c>
      <c r="C56" s="42" t="s">
        <v>339</v>
      </c>
      <c r="D56" s="43" t="s">
        <v>29</v>
      </c>
      <c r="E56" s="27"/>
      <c r="F56" s="28">
        <f>E38</f>
        <v>57209</v>
      </c>
    </row>
    <row r="57" spans="1:6" x14ac:dyDescent="0.2">
      <c r="A57" s="14">
        <v>12</v>
      </c>
      <c r="B57" s="58">
        <v>5365</v>
      </c>
      <c r="C57" s="42" t="s">
        <v>9</v>
      </c>
      <c r="D57" s="17">
        <f>+E57+F57</f>
        <v>266513</v>
      </c>
      <c r="E57" s="27">
        <v>250000</v>
      </c>
      <c r="F57" s="28">
        <f>F14</f>
        <v>16513</v>
      </c>
    </row>
    <row r="58" spans="1:6" x14ac:dyDescent="0.2">
      <c r="A58" s="57">
        <v>13</v>
      </c>
      <c r="B58" s="58" t="s">
        <v>342</v>
      </c>
      <c r="C58" s="63" t="s">
        <v>315</v>
      </c>
      <c r="D58" s="17">
        <f>+E58+F58</f>
        <v>119728</v>
      </c>
      <c r="E58" s="18">
        <v>70388</v>
      </c>
      <c r="F58" s="28">
        <v>49340</v>
      </c>
    </row>
    <row r="59" spans="1:6" x14ac:dyDescent="0.2">
      <c r="A59" s="14">
        <v>14</v>
      </c>
      <c r="B59" s="64" t="s">
        <v>40</v>
      </c>
      <c r="C59" s="63" t="s">
        <v>41</v>
      </c>
      <c r="D59" s="13">
        <f>+E59+F59</f>
        <v>1153245</v>
      </c>
      <c r="E59" s="27">
        <f>12821920-SUM(E46:E58)</f>
        <v>894260</v>
      </c>
      <c r="F59" s="28">
        <f>2710851-F46-F47-F48-F49-F50-F51-F52-F53-F54-F55-F56-F57-F58</f>
        <v>258985</v>
      </c>
    </row>
    <row r="60" spans="1:6" ht="13.5" thickBot="1" x14ac:dyDescent="0.25">
      <c r="A60" s="57">
        <v>15</v>
      </c>
      <c r="B60" s="29" t="s">
        <v>42</v>
      </c>
      <c r="C60" s="65" t="s">
        <v>345</v>
      </c>
      <c r="D60" s="32">
        <f>SUM(D46:D59)</f>
        <v>13515030</v>
      </c>
      <c r="E60" s="32">
        <f>SUM(E46:E59)</f>
        <v>12821920</v>
      </c>
      <c r="F60" s="32">
        <f>SUM(F46:F59)</f>
        <v>2710851</v>
      </c>
    </row>
    <row r="61" spans="1:6" x14ac:dyDescent="0.2">
      <c r="A61" s="14">
        <v>16</v>
      </c>
      <c r="B61" s="66">
        <v>6351</v>
      </c>
      <c r="C61" s="67" t="s">
        <v>43</v>
      </c>
      <c r="D61" s="13">
        <f>+E61+F61</f>
        <v>201712</v>
      </c>
      <c r="E61" s="18">
        <v>199062</v>
      </c>
      <c r="F61" s="18">
        <v>2650</v>
      </c>
    </row>
    <row r="62" spans="1:6" x14ac:dyDescent="0.2">
      <c r="A62" s="57">
        <v>17</v>
      </c>
      <c r="B62" s="58">
        <v>6363</v>
      </c>
      <c r="C62" s="42" t="s">
        <v>340</v>
      </c>
      <c r="D62" s="43" t="s">
        <v>29</v>
      </c>
      <c r="E62" s="18">
        <v>266740</v>
      </c>
      <c r="F62" s="24"/>
    </row>
    <row r="63" spans="1:6" x14ac:dyDescent="0.2">
      <c r="A63" s="57">
        <v>18</v>
      </c>
      <c r="B63" s="68" t="s">
        <v>44</v>
      </c>
      <c r="C63" s="69" t="s">
        <v>45</v>
      </c>
      <c r="D63" s="13">
        <f>+E63+F63</f>
        <v>6097296</v>
      </c>
      <c r="E63" s="18">
        <f>5272947-E61-E62</f>
        <v>4807145</v>
      </c>
      <c r="F63" s="24">
        <f>1292801-F61</f>
        <v>1290151</v>
      </c>
    </row>
    <row r="64" spans="1:6" ht="13.5" thickBot="1" x14ac:dyDescent="0.25">
      <c r="A64" s="14">
        <v>19</v>
      </c>
      <c r="B64" s="70" t="s">
        <v>46</v>
      </c>
      <c r="C64" s="71" t="s">
        <v>346</v>
      </c>
      <c r="D64" s="41">
        <f>SUM(D61:D63)</f>
        <v>6299008</v>
      </c>
      <c r="E64" s="41">
        <f>SUM(E61:E63)</f>
        <v>5272947</v>
      </c>
      <c r="F64" s="41">
        <f>SUM(F61:F63)</f>
        <v>1292801</v>
      </c>
    </row>
    <row r="65" spans="1:6" ht="13.5" thickBot="1" x14ac:dyDescent="0.25">
      <c r="A65" s="44">
        <v>20</v>
      </c>
      <c r="B65" s="45" t="s">
        <v>47</v>
      </c>
      <c r="C65" s="46" t="s">
        <v>347</v>
      </c>
      <c r="D65" s="47">
        <f>+D60+D64</f>
        <v>19814038</v>
      </c>
      <c r="E65" s="47">
        <f>+E60+E64</f>
        <v>18094867</v>
      </c>
      <c r="F65" s="47">
        <f>+F60+F64</f>
        <v>4003652</v>
      </c>
    </row>
    <row r="66" spans="1:6" ht="13.5" thickBot="1" x14ac:dyDescent="0.25">
      <c r="A66" s="48"/>
      <c r="B66" s="49"/>
      <c r="C66" s="72"/>
      <c r="D66" s="72"/>
      <c r="E66" s="72"/>
      <c r="F66" s="72"/>
    </row>
    <row r="67" spans="1:6" ht="13.5" thickBot="1" x14ac:dyDescent="0.25">
      <c r="A67" s="4"/>
      <c r="B67" s="5" t="s">
        <v>1</v>
      </c>
      <c r="C67" s="398" t="s">
        <v>48</v>
      </c>
      <c r="D67" s="395" t="str">
        <f>$D$3</f>
        <v>SCHVÁLENÝ ROZPOČET 2023</v>
      </c>
      <c r="E67" s="396"/>
      <c r="F67" s="397"/>
    </row>
    <row r="68" spans="1:6" x14ac:dyDescent="0.2">
      <c r="A68" s="6" t="s">
        <v>2</v>
      </c>
      <c r="B68" s="7" t="s">
        <v>3</v>
      </c>
      <c r="C68" s="399"/>
      <c r="D68" s="401" t="s">
        <v>81</v>
      </c>
      <c r="E68" s="401" t="s">
        <v>6</v>
      </c>
      <c r="F68" s="401" t="s">
        <v>7</v>
      </c>
    </row>
    <row r="69" spans="1:6" ht="13.5" thickBot="1" x14ac:dyDescent="0.25">
      <c r="A69" s="8"/>
      <c r="B69" s="9" t="s">
        <v>5</v>
      </c>
      <c r="C69" s="400"/>
      <c r="D69" s="402"/>
      <c r="E69" s="402"/>
      <c r="F69" s="402"/>
    </row>
    <row r="70" spans="1:6" x14ac:dyDescent="0.2">
      <c r="A70" s="14">
        <v>1</v>
      </c>
      <c r="B70" s="25" t="s">
        <v>439</v>
      </c>
      <c r="C70" s="390" t="s">
        <v>440</v>
      </c>
      <c r="D70" s="54">
        <f>+E70+F70</f>
        <v>2263405</v>
      </c>
      <c r="E70" s="73">
        <v>2263405</v>
      </c>
      <c r="F70" s="73"/>
    </row>
    <row r="71" spans="1:6" x14ac:dyDescent="0.2">
      <c r="A71" s="14">
        <v>2</v>
      </c>
      <c r="B71" s="25">
        <v>8115</v>
      </c>
      <c r="C71" s="16" t="s">
        <v>49</v>
      </c>
      <c r="D71" s="54">
        <f>+E71+F71</f>
        <v>430176</v>
      </c>
      <c r="E71" s="73">
        <v>-300385</v>
      </c>
      <c r="F71" s="73">
        <v>730561</v>
      </c>
    </row>
    <row r="72" spans="1:6" x14ac:dyDescent="0.2">
      <c r="A72" s="10">
        <v>3</v>
      </c>
      <c r="B72" s="15">
        <v>8124</v>
      </c>
      <c r="C72" s="16" t="s">
        <v>50</v>
      </c>
      <c r="D72" s="18">
        <f>+E72+F72</f>
        <v>-15453</v>
      </c>
      <c r="E72" s="18"/>
      <c r="F72" s="18">
        <v>-15453</v>
      </c>
    </row>
    <row r="73" spans="1:6" ht="13.5" thickBot="1" x14ac:dyDescent="0.25">
      <c r="A73" s="10">
        <v>4</v>
      </c>
      <c r="B73" s="62">
        <v>8224</v>
      </c>
      <c r="C73" s="16" t="s">
        <v>51</v>
      </c>
      <c r="D73" s="27">
        <f>+E73+F73</f>
        <v>-310527</v>
      </c>
      <c r="E73" s="27">
        <v>-310527</v>
      </c>
      <c r="F73" s="27"/>
    </row>
    <row r="74" spans="1:6" ht="13.5" thickBot="1" x14ac:dyDescent="0.25">
      <c r="A74" s="8">
        <v>5</v>
      </c>
      <c r="B74" s="74" t="s">
        <v>52</v>
      </c>
      <c r="C74" s="75" t="s">
        <v>341</v>
      </c>
      <c r="D74" s="76">
        <f>SUM(D70:D73)</f>
        <v>2367601</v>
      </c>
      <c r="E74" s="76">
        <f>SUM(E70:E73)</f>
        <v>1652493</v>
      </c>
      <c r="F74" s="76">
        <f>SUM(F70:F73)</f>
        <v>715108</v>
      </c>
    </row>
    <row r="75" spans="1:6" ht="13.5" thickBot="1" x14ac:dyDescent="0.25">
      <c r="A75" s="48"/>
      <c r="B75" s="48"/>
      <c r="C75" s="50"/>
      <c r="D75" s="50"/>
      <c r="E75" s="50"/>
      <c r="F75" s="50"/>
    </row>
    <row r="76" spans="1:6" ht="13.5" thickBot="1" x14ac:dyDescent="0.25">
      <c r="A76" s="4"/>
      <c r="B76" s="5" t="s">
        <v>5</v>
      </c>
      <c r="C76" s="398" t="s">
        <v>53</v>
      </c>
      <c r="D76" s="395" t="str">
        <f>$D$3</f>
        <v>SCHVÁLENÝ ROZPOČET 2023</v>
      </c>
      <c r="E76" s="396"/>
      <c r="F76" s="397"/>
    </row>
    <row r="77" spans="1:6" x14ac:dyDescent="0.2">
      <c r="A77" s="77" t="s">
        <v>2</v>
      </c>
      <c r="B77" s="7"/>
      <c r="C77" s="399"/>
      <c r="D77" s="401" t="s">
        <v>81</v>
      </c>
      <c r="E77" s="401" t="s">
        <v>6</v>
      </c>
      <c r="F77" s="401" t="s">
        <v>7</v>
      </c>
    </row>
    <row r="78" spans="1:6" ht="13.5" thickBot="1" x14ac:dyDescent="0.25">
      <c r="A78" s="78"/>
      <c r="B78" s="9"/>
      <c r="C78" s="400"/>
      <c r="D78" s="402"/>
      <c r="E78" s="402"/>
      <c r="F78" s="402"/>
    </row>
    <row r="79" spans="1:6" x14ac:dyDescent="0.2">
      <c r="A79" s="51">
        <v>1</v>
      </c>
      <c r="B79" s="79" t="s">
        <v>54</v>
      </c>
      <c r="C79" s="80" t="s">
        <v>55</v>
      </c>
      <c r="D79" s="81">
        <f>+D41</f>
        <v>17446437</v>
      </c>
      <c r="E79" s="81">
        <f>+E41</f>
        <v>16442374</v>
      </c>
      <c r="F79" s="81">
        <f>+F41</f>
        <v>3288544</v>
      </c>
    </row>
    <row r="80" spans="1:6" x14ac:dyDescent="0.2">
      <c r="A80" s="10">
        <v>2</v>
      </c>
      <c r="B80" s="82" t="s">
        <v>56</v>
      </c>
      <c r="C80" s="83" t="s">
        <v>57</v>
      </c>
      <c r="D80" s="84">
        <f>+D65</f>
        <v>19814038</v>
      </c>
      <c r="E80" s="84">
        <f>+E65</f>
        <v>18094867</v>
      </c>
      <c r="F80" s="84">
        <f>+F65</f>
        <v>4003652</v>
      </c>
    </row>
    <row r="81" spans="1:6" ht="13.5" thickBot="1" x14ac:dyDescent="0.25">
      <c r="A81" s="44">
        <v>3</v>
      </c>
      <c r="B81" s="85"/>
      <c r="C81" s="86" t="s">
        <v>58</v>
      </c>
      <c r="D81" s="87">
        <f>+D79-D80</f>
        <v>-2367601</v>
      </c>
      <c r="E81" s="87">
        <f>+E79-E80</f>
        <v>-1652493</v>
      </c>
      <c r="F81" s="87">
        <f>+F79-F80</f>
        <v>-715108</v>
      </c>
    </row>
    <row r="82" spans="1:6" ht="13.5" thickBot="1" x14ac:dyDescent="0.25">
      <c r="A82" s="88">
        <v>4</v>
      </c>
      <c r="B82" s="89" t="s">
        <v>52</v>
      </c>
      <c r="C82" s="90" t="s">
        <v>59</v>
      </c>
      <c r="D82" s="91">
        <f>+D74</f>
        <v>2367601</v>
      </c>
      <c r="E82" s="91">
        <f>+E74</f>
        <v>1652493</v>
      </c>
      <c r="F82" s="91">
        <f>+F74</f>
        <v>715108</v>
      </c>
    </row>
    <row r="83" spans="1:6" ht="7.5" customHeight="1" x14ac:dyDescent="0.2">
      <c r="A83" s="48"/>
      <c r="B83" s="48"/>
      <c r="C83" s="50"/>
      <c r="D83" s="50"/>
      <c r="E83" s="3"/>
      <c r="F83" s="3"/>
    </row>
    <row r="84" spans="1:6" x14ac:dyDescent="0.2">
      <c r="A84" s="92" t="s">
        <v>29</v>
      </c>
      <c r="B84" s="48" t="s">
        <v>60</v>
      </c>
      <c r="C84" s="50"/>
      <c r="D84" s="50"/>
      <c r="E84" s="3"/>
      <c r="F84" s="3"/>
    </row>
  </sheetData>
  <mergeCells count="21">
    <mergeCell ref="A1:F1"/>
    <mergeCell ref="D4:D5"/>
    <mergeCell ref="E4:E5"/>
    <mergeCell ref="F4:F5"/>
    <mergeCell ref="D44:D45"/>
    <mergeCell ref="E44:E45"/>
    <mergeCell ref="F44:F45"/>
    <mergeCell ref="D3:F3"/>
    <mergeCell ref="D43:F43"/>
    <mergeCell ref="D67:F67"/>
    <mergeCell ref="D76:F76"/>
    <mergeCell ref="C3:C5"/>
    <mergeCell ref="C43:C45"/>
    <mergeCell ref="C67:C69"/>
    <mergeCell ref="C76:C78"/>
    <mergeCell ref="D68:D69"/>
    <mergeCell ref="E68:E69"/>
    <mergeCell ref="F68:F69"/>
    <mergeCell ref="D77:D78"/>
    <mergeCell ref="E77:E78"/>
    <mergeCell ref="F77:F78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71" orientation="portrait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showZeros="0" zoomScaleNormal="100" workbookViewId="0">
      <selection activeCell="C37" sqref="C37"/>
    </sheetView>
  </sheetViews>
  <sheetFormatPr defaultRowHeight="12.75" x14ac:dyDescent="0.2"/>
  <cols>
    <col min="1" max="1" width="8" style="93" customWidth="1"/>
    <col min="2" max="2" width="49.7109375" style="93" customWidth="1"/>
    <col min="3" max="4" width="15.28515625" style="93" customWidth="1"/>
    <col min="5" max="16384" width="9.140625" style="93"/>
  </cols>
  <sheetData>
    <row r="1" spans="1:9" ht="18.75" x14ac:dyDescent="0.3">
      <c r="A1" s="406" t="s">
        <v>80</v>
      </c>
      <c r="B1" s="406"/>
      <c r="C1" s="406"/>
      <c r="D1" s="406"/>
    </row>
    <row r="2" spans="1:9" x14ac:dyDescent="0.2">
      <c r="A2" s="408"/>
      <c r="B2" s="408"/>
      <c r="C2" s="408"/>
      <c r="D2" s="408"/>
    </row>
    <row r="3" spans="1:9" ht="15" x14ac:dyDescent="0.25">
      <c r="A3" s="407" t="s">
        <v>441</v>
      </c>
      <c r="B3" s="407"/>
      <c r="C3" s="407"/>
      <c r="D3" s="407"/>
    </row>
    <row r="5" spans="1:9" x14ac:dyDescent="0.2">
      <c r="A5" s="408" t="s">
        <v>60</v>
      </c>
      <c r="B5" s="408"/>
      <c r="C5" s="408"/>
      <c r="D5" s="408"/>
    </row>
    <row r="7" spans="1:9" x14ac:dyDescent="0.2">
      <c r="D7" s="95" t="s">
        <v>61</v>
      </c>
      <c r="I7" s="93">
        <f>17739+9616+17113+3000</f>
        <v>47468</v>
      </c>
    </row>
    <row r="8" spans="1:9" x14ac:dyDescent="0.2">
      <c r="A8" s="97"/>
      <c r="B8" s="103"/>
      <c r="C8" s="409" t="s">
        <v>62</v>
      </c>
      <c r="D8" s="410"/>
    </row>
    <row r="9" spans="1:9" x14ac:dyDescent="0.2">
      <c r="A9" s="98" t="s">
        <v>1</v>
      </c>
      <c r="B9" s="104" t="s">
        <v>63</v>
      </c>
      <c r="C9" s="107" t="s">
        <v>64</v>
      </c>
      <c r="D9" s="107" t="s">
        <v>64</v>
      </c>
    </row>
    <row r="10" spans="1:9" x14ac:dyDescent="0.2">
      <c r="A10" s="105"/>
      <c r="B10" s="106"/>
      <c r="C10" s="108" t="s">
        <v>65</v>
      </c>
      <c r="D10" s="108" t="s">
        <v>66</v>
      </c>
    </row>
    <row r="11" spans="1:9" x14ac:dyDescent="0.2">
      <c r="A11" s="99"/>
      <c r="C11" s="110"/>
      <c r="D11" s="110"/>
    </row>
    <row r="12" spans="1:9" x14ac:dyDescent="0.2">
      <c r="A12" s="100"/>
      <c r="B12" s="109" t="s">
        <v>4</v>
      </c>
      <c r="C12" s="111"/>
      <c r="D12" s="111"/>
    </row>
    <row r="13" spans="1:9" x14ac:dyDescent="0.2">
      <c r="A13" s="101">
        <v>4137</v>
      </c>
      <c r="B13" s="93" t="s">
        <v>67</v>
      </c>
      <c r="C13" s="111">
        <f>C30</f>
        <v>57209</v>
      </c>
      <c r="D13" s="111"/>
    </row>
    <row r="14" spans="1:9" x14ac:dyDescent="0.2">
      <c r="A14" s="385" t="s">
        <v>348</v>
      </c>
      <c r="B14" s="93" t="s">
        <v>351</v>
      </c>
      <c r="C14" s="111">
        <f>C47</f>
        <v>2226798</v>
      </c>
      <c r="D14" s="111">
        <f>D47</f>
        <v>474</v>
      </c>
    </row>
    <row r="15" spans="1:9" x14ac:dyDescent="0.2">
      <c r="A15" s="113"/>
      <c r="B15" s="115" t="s">
        <v>55</v>
      </c>
      <c r="C15" s="117">
        <f>SUM(C13:C14)</f>
        <v>2284007</v>
      </c>
      <c r="D15" s="114">
        <f>SUM(D11:D14)</f>
        <v>474</v>
      </c>
    </row>
    <row r="16" spans="1:9" x14ac:dyDescent="0.2">
      <c r="A16" s="101"/>
      <c r="C16" s="111"/>
      <c r="D16" s="110"/>
    </row>
    <row r="17" spans="1:4" x14ac:dyDescent="0.2">
      <c r="A17" s="102"/>
      <c r="B17" s="109" t="s">
        <v>32</v>
      </c>
      <c r="C17" s="111"/>
      <c r="D17" s="111"/>
    </row>
    <row r="18" spans="1:4" x14ac:dyDescent="0.2">
      <c r="A18" s="101">
        <v>5347</v>
      </c>
      <c r="B18" s="116" t="s">
        <v>68</v>
      </c>
      <c r="C18" s="111">
        <f>C52</f>
        <v>57209</v>
      </c>
      <c r="D18" s="111"/>
    </row>
    <row r="19" spans="1:4" x14ac:dyDescent="0.2">
      <c r="A19" s="386">
        <v>5347.6363000000001</v>
      </c>
      <c r="B19" s="116" t="s">
        <v>352</v>
      </c>
      <c r="C19" s="111">
        <f>C34+C35</f>
        <v>2226798</v>
      </c>
      <c r="D19" s="111">
        <f>D51</f>
        <v>474</v>
      </c>
    </row>
    <row r="20" spans="1:4" x14ac:dyDescent="0.2">
      <c r="A20" s="113"/>
      <c r="B20" s="115" t="s">
        <v>57</v>
      </c>
      <c r="C20" s="117">
        <f>SUM(C16:C19)</f>
        <v>2284007</v>
      </c>
      <c r="D20" s="114">
        <f>SUM(D16:D19)</f>
        <v>474</v>
      </c>
    </row>
    <row r="21" spans="1:4" x14ac:dyDescent="0.2">
      <c r="A21" s="113"/>
      <c r="B21" s="115" t="s">
        <v>69</v>
      </c>
      <c r="C21" s="117">
        <f>C15-C20</f>
        <v>0</v>
      </c>
      <c r="D21" s="114">
        <f>D15-D20</f>
        <v>0</v>
      </c>
    </row>
    <row r="22" spans="1:4" x14ac:dyDescent="0.2">
      <c r="B22" s="93" t="s">
        <v>70</v>
      </c>
    </row>
    <row r="24" spans="1:4" x14ac:dyDescent="0.2">
      <c r="C24" s="95" t="s">
        <v>61</v>
      </c>
    </row>
    <row r="25" spans="1:4" x14ac:dyDescent="0.2">
      <c r="A25" s="97"/>
      <c r="B25" s="122"/>
      <c r="C25" s="120" t="s">
        <v>71</v>
      </c>
    </row>
    <row r="26" spans="1:4" x14ac:dyDescent="0.2">
      <c r="A26" s="98" t="s">
        <v>1</v>
      </c>
      <c r="B26" s="118" t="s">
        <v>72</v>
      </c>
      <c r="C26" s="98" t="s">
        <v>64</v>
      </c>
    </row>
    <row r="27" spans="1:4" x14ac:dyDescent="0.2">
      <c r="A27" s="105"/>
      <c r="B27" s="123"/>
      <c r="C27" s="108" t="s">
        <v>73</v>
      </c>
    </row>
    <row r="28" spans="1:4" x14ac:dyDescent="0.2">
      <c r="A28" s="97"/>
      <c r="B28" s="122"/>
      <c r="C28" s="110"/>
    </row>
    <row r="29" spans="1:4" x14ac:dyDescent="0.2">
      <c r="A29" s="100"/>
      <c r="B29" s="109" t="s">
        <v>4</v>
      </c>
      <c r="C29" s="111"/>
    </row>
    <row r="30" spans="1:4" x14ac:dyDescent="0.2">
      <c r="A30" s="105">
        <v>4137</v>
      </c>
      <c r="B30" s="123" t="s">
        <v>74</v>
      </c>
      <c r="C30" s="112">
        <f>Bilance!E38</f>
        <v>57209</v>
      </c>
    </row>
    <row r="31" spans="1:4" x14ac:dyDescent="0.2">
      <c r="A31" s="119"/>
      <c r="B31" s="124" t="s">
        <v>55</v>
      </c>
      <c r="C31" s="121">
        <f>SUM(C30:C30)</f>
        <v>57209</v>
      </c>
    </row>
    <row r="32" spans="1:4" x14ac:dyDescent="0.2">
      <c r="A32" s="99"/>
      <c r="C32" s="111"/>
    </row>
    <row r="33" spans="1:4" x14ac:dyDescent="0.2">
      <c r="A33" s="100"/>
      <c r="B33" s="109" t="s">
        <v>32</v>
      </c>
      <c r="C33" s="111"/>
    </row>
    <row r="34" spans="1:4" x14ac:dyDescent="0.2">
      <c r="A34" s="99">
        <v>5347</v>
      </c>
      <c r="B34" s="93" t="s">
        <v>349</v>
      </c>
      <c r="C34" s="111">
        <f>Bilance!E54</f>
        <v>1960058</v>
      </c>
    </row>
    <row r="35" spans="1:4" x14ac:dyDescent="0.2">
      <c r="A35" s="105">
        <v>6363</v>
      </c>
      <c r="B35" s="123" t="s">
        <v>350</v>
      </c>
      <c r="C35" s="112">
        <f>Bilance!E62</f>
        <v>266740</v>
      </c>
    </row>
    <row r="36" spans="1:4" x14ac:dyDescent="0.2">
      <c r="A36" s="119"/>
      <c r="B36" s="124" t="s">
        <v>57</v>
      </c>
      <c r="C36" s="121">
        <f>SUM(C34:C35)</f>
        <v>2226798</v>
      </c>
    </row>
    <row r="37" spans="1:4" x14ac:dyDescent="0.2">
      <c r="A37" s="119"/>
      <c r="B37" s="124" t="s">
        <v>75</v>
      </c>
      <c r="C37" s="121">
        <f>C31-C36</f>
        <v>-2169589</v>
      </c>
    </row>
    <row r="41" spans="1:4" x14ac:dyDescent="0.2">
      <c r="D41" s="95" t="s">
        <v>61</v>
      </c>
    </row>
    <row r="42" spans="1:4" x14ac:dyDescent="0.2">
      <c r="A42" s="97"/>
      <c r="B42" s="97"/>
      <c r="C42" s="404" t="s">
        <v>62</v>
      </c>
      <c r="D42" s="405"/>
    </row>
    <row r="43" spans="1:4" x14ac:dyDescent="0.2">
      <c r="A43" s="98" t="s">
        <v>1</v>
      </c>
      <c r="B43" s="98" t="s">
        <v>76</v>
      </c>
      <c r="C43" s="120" t="s">
        <v>64</v>
      </c>
      <c r="D43" s="120" t="s">
        <v>64</v>
      </c>
    </row>
    <row r="44" spans="1:4" x14ac:dyDescent="0.2">
      <c r="A44" s="105"/>
      <c r="B44" s="105"/>
      <c r="C44" s="108" t="s">
        <v>73</v>
      </c>
      <c r="D44" s="108" t="s">
        <v>77</v>
      </c>
    </row>
    <row r="45" spans="1:4" x14ac:dyDescent="0.2">
      <c r="A45" s="99"/>
      <c r="B45" s="99"/>
      <c r="C45" s="111"/>
      <c r="D45" s="111"/>
    </row>
    <row r="46" spans="1:4" x14ac:dyDescent="0.2">
      <c r="A46" s="100"/>
      <c r="B46" s="100" t="s">
        <v>4</v>
      </c>
      <c r="C46" s="111"/>
      <c r="D46" s="111"/>
    </row>
    <row r="47" spans="1:4" x14ac:dyDescent="0.2">
      <c r="A47" s="385" t="s">
        <v>348</v>
      </c>
      <c r="B47" s="105" t="s">
        <v>78</v>
      </c>
      <c r="C47" s="112">
        <f>Bilance!F36+Bilance!F39</f>
        <v>2226798</v>
      </c>
      <c r="D47" s="112">
        <f>Bilance!F37</f>
        <v>474</v>
      </c>
    </row>
    <row r="48" spans="1:4" x14ac:dyDescent="0.2">
      <c r="A48" s="119"/>
      <c r="B48" s="119" t="s">
        <v>55</v>
      </c>
      <c r="C48" s="121">
        <f>SUM(C47:C47)</f>
        <v>2226798</v>
      </c>
      <c r="D48" s="121">
        <f>SUM(D47:D47)</f>
        <v>474</v>
      </c>
    </row>
    <row r="49" spans="1:4" x14ac:dyDescent="0.2">
      <c r="A49" s="99"/>
      <c r="B49" s="99"/>
      <c r="C49" s="111"/>
      <c r="D49" s="111"/>
    </row>
    <row r="50" spans="1:4" x14ac:dyDescent="0.2">
      <c r="A50" s="100"/>
      <c r="B50" s="100" t="s">
        <v>32</v>
      </c>
      <c r="C50" s="111"/>
      <c r="D50" s="111"/>
    </row>
    <row r="51" spans="1:4" x14ac:dyDescent="0.2">
      <c r="A51" s="99">
        <v>5347</v>
      </c>
      <c r="B51" s="99" t="s">
        <v>453</v>
      </c>
      <c r="C51" s="111"/>
      <c r="D51" s="111">
        <f>Bilance!F55</f>
        <v>474</v>
      </c>
    </row>
    <row r="52" spans="1:4" x14ac:dyDescent="0.2">
      <c r="A52" s="105">
        <v>5347</v>
      </c>
      <c r="B52" s="105" t="s">
        <v>79</v>
      </c>
      <c r="C52" s="112">
        <f>Bilance!F56</f>
        <v>57209</v>
      </c>
      <c r="D52" s="112"/>
    </row>
    <row r="53" spans="1:4" x14ac:dyDescent="0.2">
      <c r="A53" s="119"/>
      <c r="B53" s="119" t="s">
        <v>57</v>
      </c>
      <c r="C53" s="121">
        <f>SUM(C51:C52)</f>
        <v>57209</v>
      </c>
      <c r="D53" s="121">
        <f>SUM(D51:D52)</f>
        <v>474</v>
      </c>
    </row>
    <row r="54" spans="1:4" x14ac:dyDescent="0.2">
      <c r="A54" s="119"/>
      <c r="B54" s="119" t="s">
        <v>75</v>
      </c>
      <c r="C54" s="121">
        <f>C48-C53</f>
        <v>2169589</v>
      </c>
      <c r="D54" s="121">
        <f>D48-D53</f>
        <v>0</v>
      </c>
    </row>
    <row r="56" spans="1:4" x14ac:dyDescent="0.2">
      <c r="C56" s="96"/>
    </row>
  </sheetData>
  <mergeCells count="6">
    <mergeCell ref="C42:D42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72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showZeros="0" zoomScaleNormal="100" zoomScaleSheetLayoutView="100" workbookViewId="0">
      <selection activeCell="N9" sqref="N9"/>
    </sheetView>
  </sheetViews>
  <sheetFormatPr defaultRowHeight="12.75" x14ac:dyDescent="0.2"/>
  <cols>
    <col min="1" max="1" width="8.28515625" style="93" customWidth="1"/>
    <col min="2" max="2" width="49.28515625" style="93" customWidth="1"/>
    <col min="3" max="3" width="15.85546875" style="93" customWidth="1"/>
    <col min="4" max="5" width="14.7109375" style="93" customWidth="1"/>
    <col min="6" max="6" width="15.42578125" style="93" customWidth="1"/>
    <col min="7" max="7" width="13.42578125" style="93" customWidth="1"/>
    <col min="8" max="8" width="14" style="93" customWidth="1"/>
    <col min="9" max="12" width="9.140625" style="93"/>
    <col min="13" max="13" width="21.42578125" style="93" bestFit="1" customWidth="1"/>
    <col min="14" max="16384" width="9.140625" style="93"/>
  </cols>
  <sheetData>
    <row r="1" spans="1:14" ht="18.75" x14ac:dyDescent="0.3">
      <c r="A1" s="406" t="s">
        <v>442</v>
      </c>
      <c r="B1" s="406"/>
      <c r="C1" s="406"/>
      <c r="D1" s="406"/>
      <c r="E1" s="406"/>
      <c r="F1" s="406"/>
      <c r="G1" s="406"/>
      <c r="H1" s="406"/>
    </row>
    <row r="2" spans="1:14" ht="9" customHeight="1" x14ac:dyDescent="0.2">
      <c r="A2" s="125"/>
      <c r="B2" s="94"/>
      <c r="C2" s="94"/>
    </row>
    <row r="3" spans="1:14" ht="13.5" thickBot="1" x14ac:dyDescent="0.25"/>
    <row r="4" spans="1:14" ht="26.25" thickBot="1" x14ac:dyDescent="0.25">
      <c r="A4" s="150" t="s">
        <v>82</v>
      </c>
      <c r="B4" s="126" t="s">
        <v>83</v>
      </c>
      <c r="C4" s="127" t="s">
        <v>81</v>
      </c>
      <c r="D4" s="128" t="s">
        <v>6</v>
      </c>
      <c r="E4" s="129" t="s">
        <v>7</v>
      </c>
      <c r="F4" s="109"/>
      <c r="M4" s="362" t="s">
        <v>302</v>
      </c>
      <c r="N4" s="362" t="s">
        <v>303</v>
      </c>
    </row>
    <row r="5" spans="1:14" ht="15" x14ac:dyDescent="0.25">
      <c r="A5" s="160">
        <v>1</v>
      </c>
      <c r="B5" s="161" t="s">
        <v>84</v>
      </c>
      <c r="C5" s="162">
        <f>+'Daňové a Transfery'!E35</f>
        <v>14474890</v>
      </c>
      <c r="D5" s="163">
        <f>+'Daňové a Transfery'!F35</f>
        <v>14283480</v>
      </c>
      <c r="E5" s="164">
        <f>+'Daňové a Transfery'!G35</f>
        <v>191410</v>
      </c>
      <c r="F5" s="134"/>
      <c r="G5" s="96"/>
      <c r="M5" s="363" t="s">
        <v>84</v>
      </c>
      <c r="N5" s="364">
        <f>C5/1000</f>
        <v>14474.89</v>
      </c>
    </row>
    <row r="6" spans="1:14" ht="15" x14ac:dyDescent="0.25">
      <c r="A6" s="165">
        <v>2</v>
      </c>
      <c r="B6" s="166" t="s">
        <v>85</v>
      </c>
      <c r="C6" s="167">
        <f>+'N a K'!E116</f>
        <v>817293</v>
      </c>
      <c r="D6" s="168">
        <f>+D32</f>
        <v>647925</v>
      </c>
      <c r="E6" s="169">
        <f>+'N a K'!G116</f>
        <v>169368</v>
      </c>
      <c r="F6" s="134"/>
      <c r="G6" s="96"/>
      <c r="M6" s="363" t="s">
        <v>85</v>
      </c>
      <c r="N6" s="364">
        <f t="shared" ref="N6:N8" si="0">C6/1000</f>
        <v>817.29300000000001</v>
      </c>
    </row>
    <row r="7" spans="1:14" ht="15" x14ac:dyDescent="0.25">
      <c r="A7" s="165">
        <v>3</v>
      </c>
      <c r="B7" s="166" t="s">
        <v>86</v>
      </c>
      <c r="C7" s="167">
        <f>+'N a K'!H116</f>
        <v>350655</v>
      </c>
      <c r="D7" s="168">
        <f>+G32</f>
        <v>350600</v>
      </c>
      <c r="E7" s="169">
        <f>+'N a K'!J116</f>
        <v>55</v>
      </c>
      <c r="F7" s="134"/>
      <c r="G7" s="96"/>
      <c r="M7" s="363" t="s">
        <v>86</v>
      </c>
      <c r="N7" s="364">
        <f t="shared" si="0"/>
        <v>350.65499999999997</v>
      </c>
    </row>
    <row r="8" spans="1:14" ht="15.75" thickBot="1" x14ac:dyDescent="0.3">
      <c r="A8" s="170">
        <v>4</v>
      </c>
      <c r="B8" s="171" t="s">
        <v>87</v>
      </c>
      <c r="C8" s="172">
        <f>+'Daňové a Transfery'!E57</f>
        <v>1803599</v>
      </c>
      <c r="D8" s="173">
        <f>+'Daňové a Transfery'!F57</f>
        <v>1160369</v>
      </c>
      <c r="E8" s="174">
        <f>+'Daňové a Transfery'!G57</f>
        <v>2927711</v>
      </c>
      <c r="F8" s="134"/>
      <c r="G8" s="96"/>
      <c r="M8" s="363" t="s">
        <v>301</v>
      </c>
      <c r="N8" s="364">
        <f t="shared" si="0"/>
        <v>1803.5989999999999</v>
      </c>
    </row>
    <row r="9" spans="1:14" ht="15.75" thickBot="1" x14ac:dyDescent="0.3">
      <c r="A9" s="175"/>
      <c r="B9" s="176" t="s">
        <v>88</v>
      </c>
      <c r="C9" s="177">
        <f>SUM(C5:C8)</f>
        <v>17446437</v>
      </c>
      <c r="D9" s="178">
        <f>SUM(D5:D8)</f>
        <v>16442374</v>
      </c>
      <c r="E9" s="179">
        <f>SUM(E5:E8)</f>
        <v>3288544</v>
      </c>
      <c r="F9" s="139"/>
      <c r="G9" s="96"/>
      <c r="M9" s="363"/>
      <c r="N9" s="364">
        <f>SUM(N5:N8)</f>
        <v>17446.436999999998</v>
      </c>
    </row>
    <row r="10" spans="1:14" x14ac:dyDescent="0.2">
      <c r="D10" s="96"/>
    </row>
    <row r="11" spans="1:14" ht="13.5" thickBot="1" x14ac:dyDescent="0.25"/>
    <row r="12" spans="1:14" x14ac:dyDescent="0.2">
      <c r="A12" s="411" t="s">
        <v>89</v>
      </c>
      <c r="B12" s="413" t="s">
        <v>90</v>
      </c>
      <c r="C12" s="140" t="s">
        <v>91</v>
      </c>
      <c r="D12" s="141"/>
      <c r="E12" s="142"/>
      <c r="F12" s="140" t="s">
        <v>92</v>
      </c>
      <c r="G12" s="141"/>
      <c r="H12" s="143"/>
    </row>
    <row r="13" spans="1:14" ht="26.25" thickBot="1" x14ac:dyDescent="0.25">
      <c r="A13" s="412"/>
      <c r="B13" s="414"/>
      <c r="C13" s="144" t="s">
        <v>81</v>
      </c>
      <c r="D13" s="145" t="s">
        <v>6</v>
      </c>
      <c r="E13" s="145" t="s">
        <v>7</v>
      </c>
      <c r="F13" s="144" t="s">
        <v>81</v>
      </c>
      <c r="G13" s="145" t="s">
        <v>6</v>
      </c>
      <c r="H13" s="146" t="s">
        <v>7</v>
      </c>
    </row>
    <row r="14" spans="1:14" x14ac:dyDescent="0.2">
      <c r="A14" s="147"/>
      <c r="B14" s="130" t="s">
        <v>93</v>
      </c>
      <c r="C14" s="131">
        <f>+'N a K'!E9</f>
        <v>57402</v>
      </c>
      <c r="D14" s="132">
        <f>+'N a K'!F9</f>
        <v>57205</v>
      </c>
      <c r="E14" s="132">
        <f>+'N a K'!G9</f>
        <v>197</v>
      </c>
      <c r="F14" s="131">
        <f>+'N a K'!H9</f>
        <v>0</v>
      </c>
      <c r="G14" s="132">
        <f>+'N a K'!I9</f>
        <v>0</v>
      </c>
      <c r="H14" s="133">
        <f>+'N a K'!J9</f>
        <v>0</v>
      </c>
    </row>
    <row r="15" spans="1:14" x14ac:dyDescent="0.2">
      <c r="A15" s="138" t="s">
        <v>94</v>
      </c>
      <c r="B15" s="135" t="s">
        <v>402</v>
      </c>
      <c r="C15" s="148">
        <f>+'N a K'!E17</f>
        <v>25039</v>
      </c>
      <c r="D15" s="136">
        <f>+'N a K'!F17</f>
        <v>11827</v>
      </c>
      <c r="E15" s="136">
        <f>+'N a K'!G17</f>
        <v>13212</v>
      </c>
      <c r="F15" s="148">
        <f>+'N a K'!H17</f>
        <v>0</v>
      </c>
      <c r="G15" s="136">
        <f>+'N a K'!I17</f>
        <v>0</v>
      </c>
      <c r="H15" s="137">
        <f>+'N a K'!J17</f>
        <v>0</v>
      </c>
    </row>
    <row r="16" spans="1:14" x14ac:dyDescent="0.2">
      <c r="A16" s="138" t="s">
        <v>96</v>
      </c>
      <c r="B16" s="135" t="s">
        <v>97</v>
      </c>
      <c r="C16" s="148">
        <f>+'N a K'!E25</f>
        <v>4303</v>
      </c>
      <c r="D16" s="136">
        <f>+'N a K'!F25</f>
        <v>0</v>
      </c>
      <c r="E16" s="136">
        <f>+'N a K'!G25</f>
        <v>4303</v>
      </c>
      <c r="F16" s="148">
        <f>+'N a K'!H25</f>
        <v>0</v>
      </c>
      <c r="G16" s="136">
        <f>+'N a K'!I25</f>
        <v>0</v>
      </c>
      <c r="H16" s="137">
        <f>+'N a K'!J25</f>
        <v>0</v>
      </c>
    </row>
    <row r="17" spans="1:8" x14ac:dyDescent="0.2">
      <c r="A17" s="138" t="s">
        <v>98</v>
      </c>
      <c r="B17" s="135" t="s">
        <v>99</v>
      </c>
      <c r="C17" s="148">
        <f>+'N a K'!E32</f>
        <v>152721</v>
      </c>
      <c r="D17" s="136">
        <f>+'N a K'!F32</f>
        <v>152697</v>
      </c>
      <c r="E17" s="136">
        <f>+'N a K'!G32</f>
        <v>24</v>
      </c>
      <c r="F17" s="148">
        <f>+'N a K'!H32</f>
        <v>0</v>
      </c>
      <c r="G17" s="136">
        <f>+'N a K'!I32</f>
        <v>0</v>
      </c>
      <c r="H17" s="137">
        <f>+'N a K'!J32</f>
        <v>0</v>
      </c>
    </row>
    <row r="18" spans="1:8" x14ac:dyDescent="0.2">
      <c r="A18" s="138" t="s">
        <v>100</v>
      </c>
      <c r="B18" s="135" t="s">
        <v>101</v>
      </c>
      <c r="C18" s="148">
        <f>+'N a K'!E36</f>
        <v>1100</v>
      </c>
      <c r="D18" s="136">
        <f>+'N a K'!F36</f>
        <v>1100</v>
      </c>
      <c r="E18" s="136">
        <f>+'N a K'!G36</f>
        <v>0</v>
      </c>
      <c r="F18" s="148">
        <f>+'N a K'!H36</f>
        <v>0</v>
      </c>
      <c r="G18" s="136">
        <f>+'N a K'!I36</f>
        <v>0</v>
      </c>
      <c r="H18" s="137">
        <f>+'N a K'!J36</f>
        <v>0</v>
      </c>
    </row>
    <row r="19" spans="1:8" x14ac:dyDescent="0.2">
      <c r="A19" s="149">
        <v>24</v>
      </c>
      <c r="B19" s="135" t="s">
        <v>318</v>
      </c>
      <c r="C19" s="148">
        <f>'N a K'!E40</f>
        <v>234</v>
      </c>
      <c r="D19" s="136">
        <f>'N a K'!F40</f>
        <v>0</v>
      </c>
      <c r="E19" s="136">
        <f>'N a K'!G40</f>
        <v>234</v>
      </c>
      <c r="F19" s="148">
        <f>'N a K'!H40</f>
        <v>0</v>
      </c>
      <c r="G19" s="136">
        <f>'N a K'!I40</f>
        <v>0</v>
      </c>
      <c r="H19" s="137">
        <f>'N a K'!J40</f>
        <v>0</v>
      </c>
    </row>
    <row r="20" spans="1:8" x14ac:dyDescent="0.2">
      <c r="A20" s="138" t="s">
        <v>102</v>
      </c>
      <c r="B20" s="135" t="s">
        <v>103</v>
      </c>
      <c r="C20" s="148">
        <f>+'N a K'!E49</f>
        <v>25677</v>
      </c>
      <c r="D20" s="136">
        <f>+'N a K'!F49</f>
        <v>7011</v>
      </c>
      <c r="E20" s="136">
        <f>+'N a K'!G49</f>
        <v>18666</v>
      </c>
      <c r="F20" s="148">
        <f>+'N a K'!H49</f>
        <v>0</v>
      </c>
      <c r="G20" s="136">
        <f>+'N a K'!I49</f>
        <v>0</v>
      </c>
      <c r="H20" s="137">
        <f>+'N a K'!J49</f>
        <v>0</v>
      </c>
    </row>
    <row r="21" spans="1:8" x14ac:dyDescent="0.2">
      <c r="A21" s="138" t="s">
        <v>104</v>
      </c>
      <c r="B21" s="135" t="s">
        <v>105</v>
      </c>
      <c r="C21" s="148">
        <f>+'N a K'!E61</f>
        <v>123363</v>
      </c>
      <c r="D21" s="136">
        <f>+'N a K'!F61</f>
        <v>115240</v>
      </c>
      <c r="E21" s="136">
        <f>+'N a K'!G61</f>
        <v>8123</v>
      </c>
      <c r="F21" s="148">
        <f>+'N a K'!H61</f>
        <v>0</v>
      </c>
      <c r="G21" s="136">
        <f>+'N a K'!I61</f>
        <v>0</v>
      </c>
      <c r="H21" s="137">
        <f>+'N a K'!J61</f>
        <v>0</v>
      </c>
    </row>
    <row r="22" spans="1:8" x14ac:dyDescent="0.2">
      <c r="A22" s="138" t="s">
        <v>106</v>
      </c>
      <c r="B22" s="135" t="s">
        <v>403</v>
      </c>
      <c r="C22" s="148">
        <f>+'N a K'!E65</f>
        <v>6805</v>
      </c>
      <c r="D22" s="136">
        <f>+'N a K'!F65</f>
        <v>1047</v>
      </c>
      <c r="E22" s="136">
        <f>+'N a K'!G65</f>
        <v>5758</v>
      </c>
      <c r="F22" s="148">
        <f>+'N a K'!H65</f>
        <v>0</v>
      </c>
      <c r="G22" s="136">
        <f>+'N a K'!I65</f>
        <v>0</v>
      </c>
      <c r="H22" s="137">
        <f>+'N a K'!J65</f>
        <v>0</v>
      </c>
    </row>
    <row r="23" spans="1:8" x14ac:dyDescent="0.2">
      <c r="A23" s="138" t="s">
        <v>107</v>
      </c>
      <c r="B23" s="135" t="s">
        <v>108</v>
      </c>
      <c r="C23" s="148">
        <f>+'N a K'!E69</f>
        <v>12606</v>
      </c>
      <c r="D23" s="136">
        <f>+'N a K'!F69</f>
        <v>4114</v>
      </c>
      <c r="E23" s="136">
        <f>+'N a K'!G69</f>
        <v>8492</v>
      </c>
      <c r="F23" s="148">
        <f>+'N a K'!H69</f>
        <v>0</v>
      </c>
      <c r="G23" s="136">
        <f>+'N a K'!I69</f>
        <v>0</v>
      </c>
      <c r="H23" s="137">
        <f>+'N a K'!J69</f>
        <v>0</v>
      </c>
    </row>
    <row r="24" spans="1:8" x14ac:dyDescent="0.2">
      <c r="A24" s="138" t="s">
        <v>109</v>
      </c>
      <c r="B24" s="135" t="s">
        <v>110</v>
      </c>
      <c r="C24" s="148">
        <f>+'N a K'!E79</f>
        <v>267048</v>
      </c>
      <c r="D24" s="136">
        <f>+'N a K'!F79</f>
        <v>206440</v>
      </c>
      <c r="E24" s="136">
        <f>+'N a K'!G79</f>
        <v>60608</v>
      </c>
      <c r="F24" s="148">
        <f>+'N a K'!H79</f>
        <v>350505</v>
      </c>
      <c r="G24" s="136">
        <f>+'N a K'!I79</f>
        <v>350500</v>
      </c>
      <c r="H24" s="137">
        <f>+'N a K'!J79</f>
        <v>5</v>
      </c>
    </row>
    <row r="25" spans="1:8" x14ac:dyDescent="0.2">
      <c r="A25" s="138" t="s">
        <v>111</v>
      </c>
      <c r="B25" s="135" t="s">
        <v>112</v>
      </c>
      <c r="C25" s="148">
        <f>+'N a K'!E84</f>
        <v>1144</v>
      </c>
      <c r="D25" s="136">
        <f>+'N a K'!F84</f>
        <v>947</v>
      </c>
      <c r="E25" s="136">
        <f>+'N a K'!G84</f>
        <v>197</v>
      </c>
      <c r="F25" s="148">
        <f>+'N a K'!H84</f>
        <v>0</v>
      </c>
      <c r="G25" s="136">
        <f>+'N a K'!I84</f>
        <v>0</v>
      </c>
      <c r="H25" s="137">
        <f>+'N a K'!J84</f>
        <v>0</v>
      </c>
    </row>
    <row r="26" spans="1:8" x14ac:dyDescent="0.2">
      <c r="A26" s="138" t="s">
        <v>113</v>
      </c>
      <c r="B26" s="135" t="s">
        <v>404</v>
      </c>
      <c r="C26" s="148">
        <f>+'N a K'!E93</f>
        <v>1634</v>
      </c>
      <c r="D26" s="136">
        <f>+'N a K'!F93</f>
        <v>813</v>
      </c>
      <c r="E26" s="136">
        <f>+'N a K'!G93</f>
        <v>821</v>
      </c>
      <c r="F26" s="148">
        <f>+'N a K'!H93</f>
        <v>0</v>
      </c>
      <c r="G26" s="136">
        <f>+'N a K'!I93</f>
        <v>0</v>
      </c>
      <c r="H26" s="137">
        <f>+'N a K'!J93</f>
        <v>0</v>
      </c>
    </row>
    <row r="27" spans="1:8" x14ac:dyDescent="0.2">
      <c r="A27" s="138" t="s">
        <v>114</v>
      </c>
      <c r="B27" s="135" t="s">
        <v>115</v>
      </c>
      <c r="C27" s="148">
        <f>+'N a K'!E98</f>
        <v>23441</v>
      </c>
      <c r="D27" s="136">
        <f>+'N a K'!F98</f>
        <v>23281</v>
      </c>
      <c r="E27" s="136">
        <f>+'N a K'!G98</f>
        <v>160</v>
      </c>
      <c r="F27" s="148">
        <f>+'N a K'!H98</f>
        <v>100</v>
      </c>
      <c r="G27" s="136">
        <f>+'N a K'!I98</f>
        <v>100</v>
      </c>
      <c r="H27" s="137">
        <f>+'N a K'!J98</f>
        <v>0</v>
      </c>
    </row>
    <row r="28" spans="1:8" x14ac:dyDescent="0.2">
      <c r="A28" s="149">
        <v>55</v>
      </c>
      <c r="B28" s="135" t="s">
        <v>116</v>
      </c>
      <c r="C28" s="148">
        <f>+'N a K'!E101</f>
        <v>176</v>
      </c>
      <c r="D28" s="136">
        <f>+'N a K'!F101</f>
        <v>0</v>
      </c>
      <c r="E28" s="136">
        <f>+'N a K'!G101</f>
        <v>176</v>
      </c>
      <c r="F28" s="148">
        <f>+'N a K'!H101</f>
        <v>0</v>
      </c>
      <c r="G28" s="136">
        <f>+'N a K'!I101</f>
        <v>0</v>
      </c>
      <c r="H28" s="137">
        <f>+'N a K'!J101</f>
        <v>0</v>
      </c>
    </row>
    <row r="29" spans="1:8" x14ac:dyDescent="0.2">
      <c r="A29" s="138" t="s">
        <v>117</v>
      </c>
      <c r="B29" s="135" t="s">
        <v>405</v>
      </c>
      <c r="C29" s="148">
        <f>+'N a K'!E106</f>
        <v>42987</v>
      </c>
      <c r="D29" s="136">
        <f>+'N a K'!F106</f>
        <v>12143</v>
      </c>
      <c r="E29" s="136">
        <f>+'N a K'!G106</f>
        <v>30844</v>
      </c>
      <c r="F29" s="148">
        <f>+'N a K'!H106</f>
        <v>50</v>
      </c>
      <c r="G29" s="136">
        <f>+'N a K'!I106</f>
        <v>0</v>
      </c>
      <c r="H29" s="137">
        <f>+'N a K'!J106</f>
        <v>50</v>
      </c>
    </row>
    <row r="30" spans="1:8" x14ac:dyDescent="0.2">
      <c r="A30" s="138" t="s">
        <v>119</v>
      </c>
      <c r="B30" s="135" t="s">
        <v>120</v>
      </c>
      <c r="C30" s="148">
        <f>+'N a K'!E109</f>
        <v>30</v>
      </c>
      <c r="D30" s="136">
        <f>+'N a K'!F109</f>
        <v>30</v>
      </c>
      <c r="E30" s="136">
        <f>+'N a K'!G109</f>
        <v>0</v>
      </c>
      <c r="F30" s="148">
        <f>+'N a K'!H109</f>
        <v>0</v>
      </c>
      <c r="G30" s="136">
        <f>+'N a K'!I109</f>
        <v>0</v>
      </c>
      <c r="H30" s="137">
        <f>+'N a K'!J109</f>
        <v>0</v>
      </c>
    </row>
    <row r="31" spans="1:8" ht="13.5" thickBot="1" x14ac:dyDescent="0.25">
      <c r="A31" s="157" t="s">
        <v>121</v>
      </c>
      <c r="B31" s="151" t="s">
        <v>122</v>
      </c>
      <c r="C31" s="158">
        <f>+'N a K'!E112</f>
        <v>71583</v>
      </c>
      <c r="D31" s="110">
        <f>+'N a K'!F112</f>
        <v>54030</v>
      </c>
      <c r="E31" s="110">
        <f>+'N a K'!G112</f>
        <v>17553</v>
      </c>
      <c r="F31" s="158">
        <f>+'N a K'!H112</f>
        <v>0</v>
      </c>
      <c r="G31" s="110">
        <f>+'N a K'!I112</f>
        <v>0</v>
      </c>
      <c r="H31" s="152">
        <f>+'N a K'!J112</f>
        <v>0</v>
      </c>
    </row>
    <row r="32" spans="1:8" ht="13.5" thickBot="1" x14ac:dyDescent="0.25">
      <c r="A32" s="159"/>
      <c r="B32" s="153" t="s">
        <v>88</v>
      </c>
      <c r="C32" s="154">
        <f>SUM(C14:C31)</f>
        <v>817293</v>
      </c>
      <c r="D32" s="155">
        <f t="shared" ref="D32:H32" si="1">SUM(D14:D31)</f>
        <v>647925</v>
      </c>
      <c r="E32" s="155">
        <f t="shared" si="1"/>
        <v>169368</v>
      </c>
      <c r="F32" s="154">
        <f t="shared" si="1"/>
        <v>350655</v>
      </c>
      <c r="G32" s="155">
        <f t="shared" si="1"/>
        <v>350600</v>
      </c>
      <c r="H32" s="156">
        <f t="shared" si="1"/>
        <v>55</v>
      </c>
    </row>
    <row r="33" spans="1:8" x14ac:dyDescent="0.2">
      <c r="H33" s="96"/>
    </row>
    <row r="34" spans="1:8" x14ac:dyDescent="0.2">
      <c r="A34" s="93" t="s">
        <v>123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scale="9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2"/>
  <sheetViews>
    <sheetView showZeros="0" zoomScaleNormal="100" zoomScaleSheetLayoutView="100" workbookViewId="0">
      <pane ySplit="5" topLeftCell="A6" activePane="bottomLeft" state="frozen"/>
      <selection activeCell="I64" sqref="I64"/>
      <selection pane="bottomLeft" activeCell="D27" sqref="D27"/>
    </sheetView>
  </sheetViews>
  <sheetFormatPr defaultRowHeight="12.75" x14ac:dyDescent="0.2"/>
  <cols>
    <col min="1" max="1" width="5.42578125" style="93" customWidth="1"/>
    <col min="2" max="2" width="6" style="93" bestFit="1" customWidth="1"/>
    <col min="3" max="3" width="7.140625" style="93" customWidth="1"/>
    <col min="4" max="4" width="58.28515625" style="93" customWidth="1"/>
    <col min="5" max="5" width="13" style="93" customWidth="1"/>
    <col min="6" max="6" width="11.140625" style="93" customWidth="1"/>
    <col min="7" max="7" width="12.42578125" style="93" customWidth="1"/>
    <col min="8" max="16384" width="9.140625" style="93"/>
  </cols>
  <sheetData>
    <row r="1" spans="1:7" ht="18.75" x14ac:dyDescent="0.3">
      <c r="A1" s="406" t="s">
        <v>443</v>
      </c>
      <c r="B1" s="406"/>
      <c r="C1" s="406"/>
      <c r="D1" s="406"/>
      <c r="E1" s="406"/>
      <c r="F1" s="406"/>
      <c r="G1" s="406"/>
    </row>
    <row r="2" spans="1:7" ht="15" x14ac:dyDescent="0.2">
      <c r="A2" s="416" t="s">
        <v>295</v>
      </c>
      <c r="B2" s="416"/>
      <c r="C2" s="416"/>
      <c r="D2" s="416"/>
      <c r="E2" s="416"/>
      <c r="F2" s="416"/>
      <c r="G2" s="416"/>
    </row>
    <row r="3" spans="1:7" x14ac:dyDescent="0.2">
      <c r="G3" s="207" t="s">
        <v>294</v>
      </c>
    </row>
    <row r="4" spans="1:7" x14ac:dyDescent="0.2">
      <c r="A4" s="415" t="s">
        <v>124</v>
      </c>
      <c r="B4" s="415" t="s">
        <v>291</v>
      </c>
      <c r="C4" s="415" t="s">
        <v>125</v>
      </c>
      <c r="D4" s="415" t="s">
        <v>126</v>
      </c>
      <c r="E4" s="415" t="s">
        <v>81</v>
      </c>
      <c r="F4" s="415" t="s">
        <v>6</v>
      </c>
      <c r="G4" s="415" t="s">
        <v>7</v>
      </c>
    </row>
    <row r="5" spans="1:7" x14ac:dyDescent="0.2">
      <c r="A5" s="415"/>
      <c r="B5" s="415"/>
      <c r="C5" s="415"/>
      <c r="D5" s="415"/>
      <c r="E5" s="415"/>
      <c r="F5" s="415"/>
      <c r="G5" s="415"/>
    </row>
    <row r="6" spans="1:7" x14ac:dyDescent="0.2">
      <c r="A6" s="194"/>
      <c r="B6" s="194"/>
      <c r="C6" s="194"/>
      <c r="D6" s="195"/>
      <c r="E6" s="195"/>
      <c r="F6" s="195"/>
      <c r="G6" s="195"/>
    </row>
    <row r="7" spans="1:7" x14ac:dyDescent="0.2">
      <c r="A7" s="181">
        <v>1</v>
      </c>
      <c r="B7" s="181">
        <v>11</v>
      </c>
      <c r="C7" s="181">
        <v>1111</v>
      </c>
      <c r="D7" s="181" t="str">
        <f>Bilance!C6</f>
        <v>Příjem z daně z příjmů fyzických osob placené plátci</v>
      </c>
      <c r="E7" s="196">
        <f>+F7+G7</f>
        <v>2230000</v>
      </c>
      <c r="F7" s="196">
        <f>Bilance!E6</f>
        <v>2230000</v>
      </c>
      <c r="G7" s="196"/>
    </row>
    <row r="8" spans="1:7" x14ac:dyDescent="0.2">
      <c r="A8" s="181">
        <v>1</v>
      </c>
      <c r="B8" s="181">
        <v>11</v>
      </c>
      <c r="C8" s="181">
        <v>1112</v>
      </c>
      <c r="D8" s="181" t="str">
        <f>Bilance!C7</f>
        <v>Příjem z daně z příjmů fyzických osob placené poplatníky</v>
      </c>
      <c r="E8" s="196">
        <f t="shared" ref="E8:E33" si="0">+F8+G8</f>
        <v>140000</v>
      </c>
      <c r="F8" s="196">
        <f>Bilance!E7</f>
        <v>140000</v>
      </c>
      <c r="G8" s="196"/>
    </row>
    <row r="9" spans="1:7" x14ac:dyDescent="0.2">
      <c r="A9" s="181">
        <v>1</v>
      </c>
      <c r="B9" s="181">
        <v>11</v>
      </c>
      <c r="C9" s="181">
        <v>1113</v>
      </c>
      <c r="D9" s="181" t="str">
        <f>Bilance!C8</f>
        <v>Příjem z daně z příjmů fyzických osob vybírané srážkou</v>
      </c>
      <c r="E9" s="196">
        <f t="shared" si="0"/>
        <v>390000</v>
      </c>
      <c r="F9" s="196">
        <f>Bilance!E8</f>
        <v>390000</v>
      </c>
      <c r="G9" s="196"/>
    </row>
    <row r="10" spans="1:7" x14ac:dyDescent="0.2">
      <c r="A10" s="181">
        <v>1</v>
      </c>
      <c r="B10" s="181">
        <v>11</v>
      </c>
      <c r="C10" s="181">
        <v>1121</v>
      </c>
      <c r="D10" s="181" t="str">
        <f>Bilance!C9</f>
        <v xml:space="preserve">Příjem z daně z příjmů právnických osob </v>
      </c>
      <c r="E10" s="196">
        <f t="shared" si="0"/>
        <v>3190000</v>
      </c>
      <c r="F10" s="196">
        <f>Bilance!E9</f>
        <v>3190000</v>
      </c>
      <c r="G10" s="196"/>
    </row>
    <row r="11" spans="1:7" x14ac:dyDescent="0.2">
      <c r="A11" s="181">
        <v>1</v>
      </c>
      <c r="B11" s="181">
        <v>11</v>
      </c>
      <c r="C11" s="181">
        <v>1122</v>
      </c>
      <c r="D11" s="181" t="s">
        <v>450</v>
      </c>
      <c r="E11" s="196">
        <f t="shared" si="0"/>
        <v>86518</v>
      </c>
      <c r="F11" s="196"/>
      <c r="G11" s="196">
        <f>Bilance!F13</f>
        <v>86518</v>
      </c>
    </row>
    <row r="12" spans="1:7" ht="15" x14ac:dyDescent="0.2">
      <c r="A12" s="181">
        <v>1</v>
      </c>
      <c r="B12" s="181">
        <v>11</v>
      </c>
      <c r="C12" s="181">
        <v>1122</v>
      </c>
      <c r="D12" s="181" t="s">
        <v>387</v>
      </c>
      <c r="E12" s="196">
        <f t="shared" si="0"/>
        <v>266513</v>
      </c>
      <c r="F12" s="196">
        <f>Bilance!E14</f>
        <v>250000</v>
      </c>
      <c r="G12" s="196">
        <f>Bilance!F14</f>
        <v>16513</v>
      </c>
    </row>
    <row r="13" spans="1:7" x14ac:dyDescent="0.2">
      <c r="A13" s="197" t="s">
        <v>127</v>
      </c>
      <c r="B13" s="183"/>
      <c r="C13" s="183"/>
      <c r="D13" s="183"/>
      <c r="E13" s="198">
        <f t="shared" si="0"/>
        <v>6303031</v>
      </c>
      <c r="F13" s="198">
        <f>SUM(F7:F12)</f>
        <v>6200000</v>
      </c>
      <c r="G13" s="198">
        <f>SUM(G7:G12)</f>
        <v>103031</v>
      </c>
    </row>
    <row r="14" spans="1:7" x14ac:dyDescent="0.2">
      <c r="A14" s="199"/>
      <c r="B14" s="181"/>
      <c r="C14" s="181"/>
      <c r="D14" s="181"/>
      <c r="E14" s="200"/>
      <c r="F14" s="200"/>
      <c r="G14" s="200"/>
    </row>
    <row r="15" spans="1:7" x14ac:dyDescent="0.2">
      <c r="A15" s="181">
        <v>1</v>
      </c>
      <c r="B15" s="181">
        <v>12</v>
      </c>
      <c r="C15" s="181">
        <v>1211</v>
      </c>
      <c r="D15" s="181" t="str">
        <f>Bilance!C10</f>
        <v>Příjem z daně z přidané hodnoty</v>
      </c>
      <c r="E15" s="196">
        <f t="shared" si="0"/>
        <v>7400000</v>
      </c>
      <c r="F15" s="196">
        <f>Bilance!E10</f>
        <v>7400000</v>
      </c>
      <c r="G15" s="196"/>
    </row>
    <row r="16" spans="1:7" x14ac:dyDescent="0.2">
      <c r="A16" s="197" t="s">
        <v>412</v>
      </c>
      <c r="B16" s="183"/>
      <c r="C16" s="183"/>
      <c r="D16" s="183"/>
      <c r="E16" s="198">
        <f t="shared" si="0"/>
        <v>7400000</v>
      </c>
      <c r="F16" s="198">
        <f>SUM(F15)</f>
        <v>7400000</v>
      </c>
      <c r="G16" s="198"/>
    </row>
    <row r="17" spans="1:7" x14ac:dyDescent="0.2">
      <c r="A17" s="199"/>
      <c r="B17" s="181"/>
      <c r="C17" s="181"/>
      <c r="D17" s="181"/>
      <c r="E17" s="196"/>
      <c r="F17" s="196"/>
      <c r="G17" s="196"/>
    </row>
    <row r="18" spans="1:7" x14ac:dyDescent="0.2">
      <c r="A18" s="181">
        <v>1</v>
      </c>
      <c r="B18" s="181">
        <v>13</v>
      </c>
      <c r="C18" s="181">
        <v>1334</v>
      </c>
      <c r="D18" s="181" t="s">
        <v>388</v>
      </c>
      <c r="E18" s="196">
        <f t="shared" si="0"/>
        <v>2000</v>
      </c>
      <c r="F18" s="196">
        <v>2000</v>
      </c>
      <c r="G18" s="196"/>
    </row>
    <row r="19" spans="1:7" x14ac:dyDescent="0.2">
      <c r="A19" s="181">
        <v>1</v>
      </c>
      <c r="B19" s="181">
        <v>13</v>
      </c>
      <c r="C19" s="181">
        <v>1335</v>
      </c>
      <c r="D19" s="181" t="s">
        <v>389</v>
      </c>
      <c r="E19" s="196">
        <f t="shared" si="0"/>
        <v>30</v>
      </c>
      <c r="F19" s="196">
        <v>30</v>
      </c>
      <c r="G19" s="196"/>
    </row>
    <row r="20" spans="1:7" x14ac:dyDescent="0.2">
      <c r="A20" s="181">
        <v>1</v>
      </c>
      <c r="B20" s="181">
        <v>13</v>
      </c>
      <c r="C20" s="181">
        <v>1341</v>
      </c>
      <c r="D20" s="181" t="s">
        <v>391</v>
      </c>
      <c r="E20" s="196">
        <f t="shared" si="0"/>
        <v>10701</v>
      </c>
      <c r="F20" s="196"/>
      <c r="G20" s="196">
        <v>10701</v>
      </c>
    </row>
    <row r="21" spans="1:7" x14ac:dyDescent="0.2">
      <c r="A21" s="181">
        <v>1</v>
      </c>
      <c r="B21" s="181">
        <v>13</v>
      </c>
      <c r="C21" s="181">
        <v>1342</v>
      </c>
      <c r="D21" s="181" t="s">
        <v>392</v>
      </c>
      <c r="E21" s="196">
        <f t="shared" si="0"/>
        <v>10118</v>
      </c>
      <c r="F21" s="196"/>
      <c r="G21" s="196">
        <v>10118</v>
      </c>
    </row>
    <row r="22" spans="1:7" x14ac:dyDescent="0.2">
      <c r="A22" s="181">
        <v>1</v>
      </c>
      <c r="B22" s="181">
        <v>13</v>
      </c>
      <c r="C22" s="181">
        <v>1343</v>
      </c>
      <c r="D22" s="181" t="s">
        <v>393</v>
      </c>
      <c r="E22" s="196">
        <f t="shared" si="0"/>
        <v>50075</v>
      </c>
      <c r="F22" s="196"/>
      <c r="G22" s="196">
        <v>50075</v>
      </c>
    </row>
    <row r="23" spans="1:7" x14ac:dyDescent="0.2">
      <c r="A23" s="181">
        <v>1</v>
      </c>
      <c r="B23" s="181">
        <v>13</v>
      </c>
      <c r="C23" s="181">
        <v>1344</v>
      </c>
      <c r="D23" s="181" t="s">
        <v>394</v>
      </c>
      <c r="E23" s="196">
        <f t="shared" si="0"/>
        <v>3055</v>
      </c>
      <c r="F23" s="196"/>
      <c r="G23" s="196">
        <v>3055</v>
      </c>
    </row>
    <row r="24" spans="1:7" x14ac:dyDescent="0.2">
      <c r="A24" s="181">
        <v>1</v>
      </c>
      <c r="B24" s="181">
        <v>13</v>
      </c>
      <c r="C24" s="181">
        <v>1345</v>
      </c>
      <c r="D24" s="181" t="s">
        <v>390</v>
      </c>
      <c r="E24" s="196">
        <f>+F24+G24</f>
        <v>224823</v>
      </c>
      <c r="F24" s="196">
        <v>224823</v>
      </c>
      <c r="G24" s="196"/>
    </row>
    <row r="25" spans="1:7" x14ac:dyDescent="0.2">
      <c r="A25" s="181">
        <v>1</v>
      </c>
      <c r="B25" s="181">
        <v>13</v>
      </c>
      <c r="C25" s="181">
        <v>1353</v>
      </c>
      <c r="D25" s="201" t="s">
        <v>395</v>
      </c>
      <c r="E25" s="196">
        <f t="shared" si="0"/>
        <v>3600</v>
      </c>
      <c r="F25" s="196">
        <v>3600</v>
      </c>
      <c r="G25" s="196"/>
    </row>
    <row r="26" spans="1:7" x14ac:dyDescent="0.2">
      <c r="A26" s="181">
        <v>1</v>
      </c>
      <c r="B26" s="181">
        <v>13</v>
      </c>
      <c r="C26" s="181">
        <v>1356</v>
      </c>
      <c r="D26" s="201" t="s">
        <v>396</v>
      </c>
      <c r="E26" s="196">
        <f t="shared" si="0"/>
        <v>300</v>
      </c>
      <c r="F26" s="196">
        <v>300</v>
      </c>
      <c r="G26" s="196"/>
    </row>
    <row r="27" spans="1:7" x14ac:dyDescent="0.2">
      <c r="A27" s="181">
        <v>1</v>
      </c>
      <c r="B27" s="181">
        <v>13</v>
      </c>
      <c r="C27" s="202">
        <v>1361</v>
      </c>
      <c r="D27" s="181" t="s">
        <v>370</v>
      </c>
      <c r="E27" s="196">
        <f>+F27+G27</f>
        <v>87157</v>
      </c>
      <c r="F27" s="196">
        <f>Bilance!E18</f>
        <v>72727</v>
      </c>
      <c r="G27" s="196">
        <f>Bilance!F18</f>
        <v>14430</v>
      </c>
    </row>
    <row r="28" spans="1:7" x14ac:dyDescent="0.2">
      <c r="A28" s="181">
        <v>1</v>
      </c>
      <c r="B28" s="181">
        <v>13</v>
      </c>
      <c r="C28" s="202">
        <v>1381</v>
      </c>
      <c r="D28" s="181" t="s">
        <v>397</v>
      </c>
      <c r="E28" s="196">
        <f>+F28+G28</f>
        <v>100000</v>
      </c>
      <c r="F28" s="196">
        <v>100000</v>
      </c>
      <c r="G28" s="196"/>
    </row>
    <row r="29" spans="1:7" x14ac:dyDescent="0.2">
      <c r="A29" s="181">
        <v>1</v>
      </c>
      <c r="B29" s="181">
        <v>13</v>
      </c>
      <c r="C29" s="202">
        <v>1385</v>
      </c>
      <c r="D29" s="181" t="s">
        <v>398</v>
      </c>
      <c r="E29" s="196">
        <f>+F29+G29</f>
        <v>30000</v>
      </c>
      <c r="F29" s="196">
        <v>30000</v>
      </c>
      <c r="G29" s="196"/>
    </row>
    <row r="30" spans="1:7" x14ac:dyDescent="0.2">
      <c r="A30" s="197" t="s">
        <v>128</v>
      </c>
      <c r="B30" s="183"/>
      <c r="C30" s="183"/>
      <c r="D30" s="203"/>
      <c r="E30" s="198">
        <f t="shared" si="0"/>
        <v>521859</v>
      </c>
      <c r="F30" s="198">
        <f>SUM(F18:F29)</f>
        <v>433480</v>
      </c>
      <c r="G30" s="198">
        <f>SUM(G18:G29)</f>
        <v>88379</v>
      </c>
    </row>
    <row r="31" spans="1:7" x14ac:dyDescent="0.2">
      <c r="A31" s="181"/>
      <c r="B31" s="181"/>
      <c r="C31" s="181"/>
      <c r="D31" s="181"/>
      <c r="E31" s="196"/>
      <c r="F31" s="196"/>
      <c r="G31" s="196"/>
    </row>
    <row r="32" spans="1:7" x14ac:dyDescent="0.2">
      <c r="A32" s="181">
        <v>1</v>
      </c>
      <c r="B32" s="181">
        <v>15</v>
      </c>
      <c r="C32" s="181">
        <v>1511</v>
      </c>
      <c r="D32" s="181" t="str">
        <f>Bilance!C11</f>
        <v>Příjem z daně z nemovitých věcí</v>
      </c>
      <c r="E32" s="196">
        <f t="shared" si="0"/>
        <v>250000</v>
      </c>
      <c r="F32" s="196">
        <f>Bilance!E11</f>
        <v>250000</v>
      </c>
      <c r="G32" s="196"/>
    </row>
    <row r="33" spans="1:7" x14ac:dyDescent="0.2">
      <c r="A33" s="197" t="s">
        <v>413</v>
      </c>
      <c r="B33" s="183"/>
      <c r="C33" s="183"/>
      <c r="D33" s="203"/>
      <c r="E33" s="198">
        <f t="shared" si="0"/>
        <v>250000</v>
      </c>
      <c r="F33" s="198">
        <f>SUM(F32)</f>
        <v>250000</v>
      </c>
      <c r="G33" s="198"/>
    </row>
    <row r="34" spans="1:7" ht="13.5" thickBot="1" x14ac:dyDescent="0.25">
      <c r="A34" s="97"/>
      <c r="B34" s="97"/>
      <c r="C34" s="97"/>
      <c r="D34" s="97"/>
      <c r="E34" s="204"/>
      <c r="F34" s="204"/>
      <c r="G34" s="204"/>
    </row>
    <row r="35" spans="1:7" ht="15.75" customHeight="1" thickTop="1" thickBot="1" x14ac:dyDescent="0.25">
      <c r="A35" s="359" t="s">
        <v>292</v>
      </c>
      <c r="B35" s="360"/>
      <c r="C35" s="360"/>
      <c r="D35" s="360"/>
      <c r="E35" s="361">
        <f>E13+E16+E30+E33</f>
        <v>14474890</v>
      </c>
      <c r="F35" s="361">
        <f>F13+F16+F30+F33</f>
        <v>14283480</v>
      </c>
      <c r="G35" s="361">
        <f>G13+G16+G30+G33</f>
        <v>191410</v>
      </c>
    </row>
    <row r="36" spans="1:7" ht="15.75" thickTop="1" x14ac:dyDescent="0.2">
      <c r="A36" s="193" t="s">
        <v>290</v>
      </c>
      <c r="E36" s="190"/>
      <c r="F36" s="190"/>
      <c r="G36" s="190"/>
    </row>
    <row r="37" spans="1:7" x14ac:dyDescent="0.2">
      <c r="E37" s="190"/>
      <c r="F37" s="190"/>
      <c r="G37" s="190"/>
    </row>
    <row r="38" spans="1:7" x14ac:dyDescent="0.2">
      <c r="E38" s="190"/>
      <c r="F38" s="190"/>
      <c r="G38" s="190"/>
    </row>
    <row r="39" spans="1:7" x14ac:dyDescent="0.2">
      <c r="E39" s="190"/>
      <c r="F39" s="190"/>
      <c r="G39" s="190"/>
    </row>
    <row r="40" spans="1:7" ht="18.75" x14ac:dyDescent="0.3">
      <c r="A40" s="406" t="s">
        <v>444</v>
      </c>
      <c r="B40" s="406"/>
      <c r="C40" s="406"/>
      <c r="D40" s="406"/>
      <c r="E40" s="406"/>
      <c r="F40" s="406"/>
      <c r="G40" s="406"/>
    </row>
    <row r="41" spans="1:7" ht="15" x14ac:dyDescent="0.2">
      <c r="A41" s="416" t="s">
        <v>295</v>
      </c>
      <c r="B41" s="416"/>
      <c r="C41" s="416"/>
      <c r="D41" s="416"/>
      <c r="E41" s="416"/>
      <c r="F41" s="416"/>
      <c r="G41" s="416"/>
    </row>
    <row r="42" spans="1:7" x14ac:dyDescent="0.2">
      <c r="E42" s="96"/>
      <c r="F42" s="96"/>
      <c r="G42" s="207" t="s">
        <v>294</v>
      </c>
    </row>
    <row r="43" spans="1:7" x14ac:dyDescent="0.2">
      <c r="A43" s="415" t="s">
        <v>124</v>
      </c>
      <c r="B43" s="415" t="s">
        <v>291</v>
      </c>
      <c r="C43" s="415" t="s">
        <v>125</v>
      </c>
      <c r="D43" s="415" t="s">
        <v>126</v>
      </c>
      <c r="E43" s="415" t="s">
        <v>81</v>
      </c>
      <c r="F43" s="415" t="s">
        <v>6</v>
      </c>
      <c r="G43" s="415" t="s">
        <v>7</v>
      </c>
    </row>
    <row r="44" spans="1:7" x14ac:dyDescent="0.2">
      <c r="A44" s="415"/>
      <c r="B44" s="415"/>
      <c r="C44" s="415"/>
      <c r="D44" s="415"/>
      <c r="E44" s="415"/>
      <c r="F44" s="415"/>
      <c r="G44" s="415"/>
    </row>
    <row r="45" spans="1:7" x14ac:dyDescent="0.2">
      <c r="A45" s="181">
        <v>4</v>
      </c>
      <c r="B45" s="181">
        <v>41</v>
      </c>
      <c r="C45" s="181">
        <v>4112</v>
      </c>
      <c r="D45" s="201" t="str">
        <f>Bilance!C32</f>
        <v xml:space="preserve">Neinvestiční přijaté transfery ze SR v rámci souhrnného dotačního vztahu </v>
      </c>
      <c r="E45" s="196">
        <f>+F45+G45</f>
        <v>411761</v>
      </c>
      <c r="F45" s="196">
        <f>Bilance!E32</f>
        <v>200238</v>
      </c>
      <c r="G45" s="196">
        <f>Bilance!F32</f>
        <v>211523</v>
      </c>
    </row>
    <row r="46" spans="1:7" x14ac:dyDescent="0.2">
      <c r="A46" s="181">
        <v>4</v>
      </c>
      <c r="B46" s="181">
        <v>41</v>
      </c>
      <c r="C46" s="181">
        <v>4116</v>
      </c>
      <c r="D46" s="181" t="str">
        <f>Bilance!C33</f>
        <v>Ostatní neinvestiční přijaté transfery ze státního rozpočtu</v>
      </c>
      <c r="E46" s="196">
        <f>+F46+G46</f>
        <v>3284</v>
      </c>
      <c r="F46" s="196"/>
      <c r="G46" s="196">
        <f>Bilance!F33</f>
        <v>3284</v>
      </c>
    </row>
    <row r="47" spans="1:7" x14ac:dyDescent="0.2">
      <c r="A47" s="181">
        <v>4</v>
      </c>
      <c r="B47" s="181">
        <v>41</v>
      </c>
      <c r="C47" s="181">
        <v>4121</v>
      </c>
      <c r="D47" s="181" t="str">
        <f>Bilance!C34</f>
        <v>Neinvestiční přijaté transfery od obcí</v>
      </c>
      <c r="E47" s="196">
        <f>+F47+G47</f>
        <v>90</v>
      </c>
      <c r="F47" s="196">
        <f>Bilance!E34</f>
        <v>25</v>
      </c>
      <c r="G47" s="196">
        <f>Bilance!F34</f>
        <v>65</v>
      </c>
    </row>
    <row r="48" spans="1:7" x14ac:dyDescent="0.2">
      <c r="A48" s="181">
        <v>4</v>
      </c>
      <c r="B48" s="181">
        <v>41</v>
      </c>
      <c r="C48" s="181">
        <v>4131</v>
      </c>
      <c r="D48" s="181" t="str">
        <f>Bilance!C35</f>
        <v>Převody z vlastních fondů podnikatelské činnosti</v>
      </c>
      <c r="E48" s="196">
        <f>+F48+G48</f>
        <v>1388464</v>
      </c>
      <c r="F48" s="196">
        <f>Bilance!E35</f>
        <v>902897</v>
      </c>
      <c r="G48" s="196">
        <f>Bilance!F35</f>
        <v>485567</v>
      </c>
    </row>
    <row r="49" spans="1:7" x14ac:dyDescent="0.2">
      <c r="A49" s="181">
        <v>4</v>
      </c>
      <c r="B49" s="181">
        <v>41</v>
      </c>
      <c r="C49" s="181">
        <v>4137</v>
      </c>
      <c r="D49" s="181" t="s">
        <v>337</v>
      </c>
      <c r="E49" s="196" t="s">
        <v>129</v>
      </c>
      <c r="F49" s="196"/>
      <c r="G49" s="196">
        <f>Bilance!F36</f>
        <v>1960058</v>
      </c>
    </row>
    <row r="50" spans="1:7" x14ac:dyDescent="0.2">
      <c r="A50" s="181">
        <v>4</v>
      </c>
      <c r="B50" s="181">
        <v>41</v>
      </c>
      <c r="C50" s="181">
        <v>4137</v>
      </c>
      <c r="D50" s="181" t="s">
        <v>338</v>
      </c>
      <c r="E50" s="196" t="s">
        <v>129</v>
      </c>
      <c r="F50" s="196"/>
      <c r="G50" s="196">
        <f>Bilance!F37</f>
        <v>474</v>
      </c>
    </row>
    <row r="51" spans="1:7" x14ac:dyDescent="0.2">
      <c r="A51" s="181">
        <v>4</v>
      </c>
      <c r="B51" s="181">
        <v>41</v>
      </c>
      <c r="C51" s="181">
        <v>4137</v>
      </c>
      <c r="D51" s="181" t="s">
        <v>343</v>
      </c>
      <c r="E51" s="196" t="s">
        <v>129</v>
      </c>
      <c r="F51" s="196">
        <f>Bilance!E38</f>
        <v>57209</v>
      </c>
      <c r="G51" s="196"/>
    </row>
    <row r="52" spans="1:7" x14ac:dyDescent="0.2">
      <c r="A52" s="197" t="s">
        <v>130</v>
      </c>
      <c r="B52" s="183"/>
      <c r="C52" s="183"/>
      <c r="D52" s="183"/>
      <c r="E52" s="198">
        <f>SUM(E45:E51)</f>
        <v>1803599</v>
      </c>
      <c r="F52" s="198">
        <f>SUM(F45:F51)</f>
        <v>1160369</v>
      </c>
      <c r="G52" s="198">
        <f>SUM(G45:G51)</f>
        <v>2660971</v>
      </c>
    </row>
    <row r="53" spans="1:7" x14ac:dyDescent="0.2">
      <c r="A53" s="206"/>
      <c r="B53" s="97"/>
      <c r="C53" s="97"/>
      <c r="D53" s="97"/>
      <c r="E53" s="384"/>
      <c r="F53" s="384"/>
      <c r="G53" s="384"/>
    </row>
    <row r="54" spans="1:7" x14ac:dyDescent="0.2">
      <c r="A54" s="181">
        <v>4</v>
      </c>
      <c r="B54" s="181">
        <v>42</v>
      </c>
      <c r="C54" s="181">
        <v>4251</v>
      </c>
      <c r="D54" s="181" t="s">
        <v>340</v>
      </c>
      <c r="E54" s="196" t="s">
        <v>129</v>
      </c>
      <c r="F54" s="196"/>
      <c r="G54" s="196">
        <f>Bilance!F39</f>
        <v>266740</v>
      </c>
    </row>
    <row r="55" spans="1:7" x14ac:dyDescent="0.2">
      <c r="A55" s="197" t="s">
        <v>344</v>
      </c>
      <c r="B55" s="183"/>
      <c r="C55" s="183"/>
      <c r="D55" s="183"/>
      <c r="E55" s="198">
        <f>SUM(E54:E54)</f>
        <v>0</v>
      </c>
      <c r="F55" s="198">
        <f>SUM(F54:F54)</f>
        <v>0</v>
      </c>
      <c r="G55" s="198">
        <f>SUM(G54:G54)</f>
        <v>266740</v>
      </c>
    </row>
    <row r="56" spans="1:7" ht="13.5" thickBot="1" x14ac:dyDescent="0.25">
      <c r="A56" s="206"/>
      <c r="B56" s="97"/>
      <c r="C56" s="97"/>
      <c r="D56" s="97"/>
      <c r="E56" s="204"/>
      <c r="F56" s="204"/>
      <c r="G56" s="204"/>
    </row>
    <row r="57" spans="1:7" ht="15.75" customHeight="1" thickTop="1" thickBot="1" x14ac:dyDescent="0.25">
      <c r="A57" s="359" t="s">
        <v>293</v>
      </c>
      <c r="B57" s="360"/>
      <c r="C57" s="360"/>
      <c r="D57" s="360"/>
      <c r="E57" s="361">
        <f>+E52+E55</f>
        <v>1803599</v>
      </c>
      <c r="F57" s="361">
        <f>+F52+F55</f>
        <v>1160369</v>
      </c>
      <c r="G57" s="361">
        <f>+G52+G55</f>
        <v>2927711</v>
      </c>
    </row>
    <row r="58" spans="1:7" ht="13.5" thickTop="1" x14ac:dyDescent="0.2">
      <c r="A58" s="93" t="s">
        <v>123</v>
      </c>
      <c r="E58" s="192"/>
      <c r="F58" s="190"/>
      <c r="G58" s="190"/>
    </row>
    <row r="59" spans="1:7" x14ac:dyDescent="0.2">
      <c r="E59" s="192"/>
      <c r="F59" s="190"/>
      <c r="G59" s="190"/>
    </row>
    <row r="60" spans="1:7" x14ac:dyDescent="0.2">
      <c r="A60" s="109"/>
      <c r="E60" s="192"/>
      <c r="F60" s="190"/>
      <c r="G60" s="190"/>
    </row>
    <row r="61" spans="1:7" x14ac:dyDescent="0.2">
      <c r="E61" s="96"/>
      <c r="F61" s="96"/>
      <c r="G61" s="96"/>
    </row>
    <row r="62" spans="1:7" x14ac:dyDescent="0.2">
      <c r="E62" s="96"/>
      <c r="F62" s="96"/>
      <c r="G62" s="96"/>
    </row>
  </sheetData>
  <mergeCells count="18">
    <mergeCell ref="A1:G1"/>
    <mergeCell ref="A2:G2"/>
    <mergeCell ref="A40:G40"/>
    <mergeCell ref="A41:G41"/>
    <mergeCell ref="A4:A5"/>
    <mergeCell ref="B4:B5"/>
    <mergeCell ref="C4:C5"/>
    <mergeCell ref="D4:D5"/>
    <mergeCell ref="E4:E5"/>
    <mergeCell ref="F4:F5"/>
    <mergeCell ref="G4:G5"/>
    <mergeCell ref="F43:F44"/>
    <mergeCell ref="G43:G44"/>
    <mergeCell ref="A43:A44"/>
    <mergeCell ref="B43:B44"/>
    <mergeCell ref="C43:C44"/>
    <mergeCell ref="D43:D44"/>
    <mergeCell ref="E43:E44"/>
  </mergeCells>
  <printOptions horizontalCentered="1"/>
  <pageMargins left="0.55000000000000004" right="0.36" top="0.74" bottom="0.43" header="0.23622047244094491" footer="0.27"/>
  <pageSetup paperSize="9" scale="91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7"/>
  <sheetViews>
    <sheetView showGridLines="0" showZeros="0" zoomScaleNormal="100" zoomScaleSheetLayoutView="100" workbookViewId="0">
      <pane ySplit="6" topLeftCell="A7" activePane="bottomLeft" state="frozen"/>
      <selection activeCell="I64" sqref="I64"/>
      <selection pane="bottomLeft" activeCell="D12" sqref="D12"/>
    </sheetView>
  </sheetViews>
  <sheetFormatPr defaultRowHeight="12.75" x14ac:dyDescent="0.2"/>
  <cols>
    <col min="1" max="1" width="4.5703125" style="93" customWidth="1"/>
    <col min="2" max="2" width="5.140625" style="93" customWidth="1"/>
    <col min="3" max="3" width="5" style="93" bestFit="1" customWidth="1"/>
    <col min="4" max="4" width="51.7109375" style="93" customWidth="1"/>
    <col min="5" max="5" width="11.7109375" style="96" customWidth="1"/>
    <col min="6" max="6" width="10.28515625" style="96" customWidth="1"/>
    <col min="7" max="7" width="10.42578125" style="96" customWidth="1"/>
    <col min="8" max="8" width="12" style="96" customWidth="1"/>
    <col min="9" max="9" width="10" style="96" customWidth="1"/>
    <col min="10" max="10" width="10.5703125" style="96" customWidth="1"/>
    <col min="11" max="11" width="18.5703125" style="96" hidden="1" customWidth="1"/>
    <col min="12" max="12" width="9" style="96" hidden="1" customWidth="1"/>
    <col min="13" max="13" width="11.85546875" style="96" hidden="1" customWidth="1"/>
    <col min="14" max="20" width="9.140625" style="96"/>
    <col min="21" max="16384" width="9.140625" style="93"/>
  </cols>
  <sheetData>
    <row r="1" spans="1:13" s="96" customFormat="1" ht="18.75" x14ac:dyDescent="0.3">
      <c r="A1" s="406" t="s">
        <v>447</v>
      </c>
      <c r="B1" s="406"/>
      <c r="C1" s="406"/>
      <c r="D1" s="406"/>
      <c r="E1" s="406"/>
      <c r="F1" s="406"/>
      <c r="G1" s="406"/>
      <c r="H1" s="406"/>
      <c r="I1" s="406"/>
      <c r="J1" s="406"/>
      <c r="K1" s="191"/>
      <c r="L1" s="191"/>
      <c r="M1" s="191"/>
    </row>
    <row r="2" spans="1:13" s="96" customFormat="1" ht="15" x14ac:dyDescent="0.25">
      <c r="A2" s="419" t="s">
        <v>131</v>
      </c>
      <c r="B2" s="419"/>
      <c r="C2" s="419"/>
      <c r="D2" s="419"/>
      <c r="E2" s="419"/>
      <c r="F2" s="419"/>
      <c r="G2" s="419"/>
      <c r="H2" s="419"/>
      <c r="I2" s="419"/>
      <c r="J2" s="419"/>
      <c r="K2" s="191"/>
      <c r="L2" s="191"/>
      <c r="M2" s="191"/>
    </row>
    <row r="3" spans="1:13" s="96" customFormat="1" x14ac:dyDescent="0.2">
      <c r="A3" s="94"/>
      <c r="B3" s="94"/>
      <c r="C3" s="94"/>
      <c r="D3" s="125"/>
      <c r="E3" s="191"/>
      <c r="F3" s="191"/>
      <c r="G3" s="191"/>
    </row>
    <row r="4" spans="1:13" s="96" customFormat="1" x14ac:dyDescent="0.2">
      <c r="A4" s="94"/>
      <c r="B4" s="94"/>
      <c r="C4" s="94"/>
      <c r="D4" s="125"/>
      <c r="E4" s="191"/>
      <c r="F4" s="191"/>
      <c r="G4" s="191"/>
      <c r="J4" s="190" t="s">
        <v>294</v>
      </c>
    </row>
    <row r="5" spans="1:13" s="96" customFormat="1" x14ac:dyDescent="0.2">
      <c r="A5" s="420" t="s">
        <v>296</v>
      </c>
      <c r="B5" s="417" t="s">
        <v>132</v>
      </c>
      <c r="C5" s="417" t="s">
        <v>133</v>
      </c>
      <c r="D5" s="417" t="s">
        <v>213</v>
      </c>
      <c r="E5" s="422" t="s">
        <v>134</v>
      </c>
      <c r="F5" s="423"/>
      <c r="G5" s="424"/>
      <c r="H5" s="422" t="s">
        <v>135</v>
      </c>
      <c r="I5" s="423"/>
      <c r="J5" s="424"/>
      <c r="K5" s="211" t="s">
        <v>136</v>
      </c>
      <c r="L5" s="211"/>
      <c r="M5" s="211"/>
    </row>
    <row r="6" spans="1:13" s="96" customFormat="1" ht="25.5" x14ac:dyDescent="0.2">
      <c r="A6" s="421"/>
      <c r="B6" s="418"/>
      <c r="C6" s="418"/>
      <c r="D6" s="418"/>
      <c r="E6" s="257" t="s">
        <v>81</v>
      </c>
      <c r="F6" s="257" t="s">
        <v>137</v>
      </c>
      <c r="G6" s="257" t="s">
        <v>7</v>
      </c>
      <c r="H6" s="257" t="s">
        <v>81</v>
      </c>
      <c r="I6" s="257" t="s">
        <v>137</v>
      </c>
      <c r="J6" s="257" t="s">
        <v>7</v>
      </c>
      <c r="K6" s="212" t="s">
        <v>81</v>
      </c>
      <c r="L6" s="213" t="s">
        <v>137</v>
      </c>
      <c r="M6" s="213" t="s">
        <v>7</v>
      </c>
    </row>
    <row r="7" spans="1:13" s="96" customFormat="1" x14ac:dyDescent="0.2">
      <c r="A7" s="180"/>
      <c r="B7" s="180"/>
      <c r="C7" s="180"/>
      <c r="D7" s="214"/>
      <c r="E7" s="227"/>
      <c r="F7" s="208"/>
      <c r="G7" s="228"/>
      <c r="H7" s="227"/>
      <c r="I7" s="208"/>
      <c r="J7" s="228"/>
      <c r="K7" s="227"/>
      <c r="L7" s="208"/>
      <c r="M7" s="228"/>
    </row>
    <row r="8" spans="1:13" s="96" customFormat="1" ht="13.5" thickBot="1" x14ac:dyDescent="0.25">
      <c r="A8" s="181"/>
      <c r="B8" s="181"/>
      <c r="C8" s="181"/>
      <c r="D8" s="215" t="s">
        <v>138</v>
      </c>
      <c r="E8" s="229">
        <f>+F8+G8</f>
        <v>57402</v>
      </c>
      <c r="F8" s="182">
        <v>57205</v>
      </c>
      <c r="G8" s="230">
        <v>197</v>
      </c>
      <c r="H8" s="229"/>
      <c r="I8" s="182"/>
      <c r="J8" s="230"/>
      <c r="K8" s="229">
        <f>+L8+M8</f>
        <v>57402</v>
      </c>
      <c r="L8" s="182">
        <f>+F8+I8</f>
        <v>57205</v>
      </c>
      <c r="M8" s="230">
        <f>+G8+J8</f>
        <v>197</v>
      </c>
    </row>
    <row r="9" spans="1:13" s="96" customFormat="1" ht="14.25" thickTop="1" thickBot="1" x14ac:dyDescent="0.25">
      <c r="A9" s="205" t="s">
        <v>139</v>
      </c>
      <c r="B9" s="187"/>
      <c r="C9" s="188"/>
      <c r="D9" s="216"/>
      <c r="E9" s="231">
        <f>+E8</f>
        <v>57402</v>
      </c>
      <c r="F9" s="189">
        <f>+F8</f>
        <v>57205</v>
      </c>
      <c r="G9" s="232">
        <f>SUM(G8)</f>
        <v>197</v>
      </c>
      <c r="H9" s="231"/>
      <c r="I9" s="189"/>
      <c r="J9" s="232"/>
      <c r="K9" s="231">
        <f>+K8</f>
        <v>57402</v>
      </c>
      <c r="L9" s="189">
        <f>+L8</f>
        <v>57205</v>
      </c>
      <c r="M9" s="232">
        <f>+M8</f>
        <v>197</v>
      </c>
    </row>
    <row r="10" spans="1:13" s="96" customFormat="1" ht="13.5" thickTop="1" x14ac:dyDescent="0.2">
      <c r="A10" s="199"/>
      <c r="B10" s="181"/>
      <c r="C10" s="181"/>
      <c r="D10" s="215"/>
      <c r="E10" s="233"/>
      <c r="F10" s="185"/>
      <c r="G10" s="234"/>
      <c r="H10" s="233"/>
      <c r="I10" s="185"/>
      <c r="J10" s="234"/>
      <c r="K10" s="233"/>
      <c r="L10" s="185"/>
      <c r="M10" s="234"/>
    </row>
    <row r="11" spans="1:13" s="96" customFormat="1" x14ac:dyDescent="0.2">
      <c r="A11" s="181">
        <v>1</v>
      </c>
      <c r="B11" s="181">
        <v>10</v>
      </c>
      <c r="C11" s="181">
        <v>1012</v>
      </c>
      <c r="D11" s="215" t="s">
        <v>414</v>
      </c>
      <c r="E11" s="229">
        <f t="shared" ref="E11:E78" si="0">+F11+G11</f>
        <v>1055</v>
      </c>
      <c r="F11" s="182"/>
      <c r="G11" s="230">
        <v>1055</v>
      </c>
      <c r="H11" s="229"/>
      <c r="I11" s="182"/>
      <c r="J11" s="230"/>
      <c r="K11" s="229">
        <f t="shared" ref="K11:K16" si="1">+L11+M11</f>
        <v>1055</v>
      </c>
      <c r="L11" s="182">
        <f t="shared" ref="L11:M16" si="2">+F11+I11</f>
        <v>0</v>
      </c>
      <c r="M11" s="230">
        <f t="shared" si="2"/>
        <v>1055</v>
      </c>
    </row>
    <row r="12" spans="1:13" s="96" customFormat="1" x14ac:dyDescent="0.2">
      <c r="A12" s="181">
        <v>1</v>
      </c>
      <c r="B12" s="181">
        <v>10</v>
      </c>
      <c r="C12" s="181">
        <v>1014</v>
      </c>
      <c r="D12" s="215" t="s">
        <v>458</v>
      </c>
      <c r="E12" s="229">
        <f t="shared" si="0"/>
        <v>661</v>
      </c>
      <c r="F12" s="182">
        <v>661</v>
      </c>
      <c r="G12" s="230"/>
      <c r="H12" s="229"/>
      <c r="I12" s="182"/>
      <c r="J12" s="230"/>
      <c r="K12" s="229">
        <f t="shared" si="1"/>
        <v>661</v>
      </c>
      <c r="L12" s="182">
        <f t="shared" si="2"/>
        <v>661</v>
      </c>
      <c r="M12" s="230">
        <f t="shared" si="2"/>
        <v>0</v>
      </c>
    </row>
    <row r="13" spans="1:13" s="96" customFormat="1" x14ac:dyDescent="0.2">
      <c r="A13" s="181">
        <v>1</v>
      </c>
      <c r="B13" s="181">
        <v>10</v>
      </c>
      <c r="C13" s="181">
        <v>1019</v>
      </c>
      <c r="D13" s="215" t="s">
        <v>140</v>
      </c>
      <c r="E13" s="229">
        <f t="shared" si="0"/>
        <v>11457</v>
      </c>
      <c r="F13" s="182"/>
      <c r="G13" s="230">
        <v>11457</v>
      </c>
      <c r="H13" s="229"/>
      <c r="I13" s="182"/>
      <c r="J13" s="230"/>
      <c r="K13" s="229">
        <f t="shared" si="1"/>
        <v>11457</v>
      </c>
      <c r="L13" s="182">
        <f t="shared" si="2"/>
        <v>0</v>
      </c>
      <c r="M13" s="230">
        <f t="shared" si="2"/>
        <v>11457</v>
      </c>
    </row>
    <row r="14" spans="1:13" s="96" customFormat="1" x14ac:dyDescent="0.2">
      <c r="A14" s="181">
        <v>1</v>
      </c>
      <c r="B14" s="181">
        <v>10</v>
      </c>
      <c r="C14" s="181">
        <v>1029</v>
      </c>
      <c r="D14" s="215" t="s">
        <v>452</v>
      </c>
      <c r="E14" s="229">
        <f t="shared" ref="E14" si="3">+F14+G14</f>
        <v>700</v>
      </c>
      <c r="F14" s="182"/>
      <c r="G14" s="230">
        <v>700</v>
      </c>
      <c r="H14" s="229"/>
      <c r="I14" s="182"/>
      <c r="J14" s="230"/>
      <c r="K14" s="229">
        <f t="shared" si="1"/>
        <v>700</v>
      </c>
      <c r="L14" s="182">
        <f t="shared" ref="L14" si="4">+F14+I14</f>
        <v>0</v>
      </c>
      <c r="M14" s="230">
        <f t="shared" ref="M14" si="5">+G14+J14</f>
        <v>700</v>
      </c>
    </row>
    <row r="15" spans="1:13" s="96" customFormat="1" x14ac:dyDescent="0.2">
      <c r="A15" s="181">
        <v>1</v>
      </c>
      <c r="B15" s="181">
        <v>10</v>
      </c>
      <c r="C15" s="181">
        <v>1031</v>
      </c>
      <c r="D15" s="215" t="s">
        <v>141</v>
      </c>
      <c r="E15" s="229">
        <f t="shared" si="0"/>
        <v>11070</v>
      </c>
      <c r="F15" s="182">
        <v>11070</v>
      </c>
      <c r="G15" s="230"/>
      <c r="H15" s="229"/>
      <c r="I15" s="182"/>
      <c r="J15" s="230"/>
      <c r="K15" s="229">
        <f t="shared" si="1"/>
        <v>11070</v>
      </c>
      <c r="L15" s="182">
        <f t="shared" si="2"/>
        <v>11070</v>
      </c>
      <c r="M15" s="230">
        <f t="shared" si="2"/>
        <v>0</v>
      </c>
    </row>
    <row r="16" spans="1:13" s="96" customFormat="1" x14ac:dyDescent="0.2">
      <c r="A16" s="181">
        <v>1</v>
      </c>
      <c r="B16" s="181">
        <v>10</v>
      </c>
      <c r="C16" s="181">
        <v>1032</v>
      </c>
      <c r="D16" s="215" t="s">
        <v>142</v>
      </c>
      <c r="E16" s="229">
        <f t="shared" si="0"/>
        <v>96</v>
      </c>
      <c r="F16" s="182">
        <v>96</v>
      </c>
      <c r="G16" s="230"/>
      <c r="H16" s="229"/>
      <c r="I16" s="182"/>
      <c r="J16" s="230"/>
      <c r="K16" s="229">
        <f t="shared" si="1"/>
        <v>96</v>
      </c>
      <c r="L16" s="182">
        <f t="shared" si="2"/>
        <v>96</v>
      </c>
      <c r="M16" s="230">
        <f t="shared" si="2"/>
        <v>0</v>
      </c>
    </row>
    <row r="17" spans="1:13" s="96" customFormat="1" x14ac:dyDescent="0.2">
      <c r="A17" s="197" t="s">
        <v>406</v>
      </c>
      <c r="B17" s="183"/>
      <c r="C17" s="183"/>
      <c r="D17" s="217"/>
      <c r="E17" s="235">
        <f>SUM(E11:E16)</f>
        <v>25039</v>
      </c>
      <c r="F17" s="184">
        <f>SUM(F11:F16)</f>
        <v>11827</v>
      </c>
      <c r="G17" s="236">
        <f>SUM(G11:G16)</f>
        <v>13212</v>
      </c>
      <c r="H17" s="235"/>
      <c r="I17" s="184"/>
      <c r="J17" s="236"/>
      <c r="K17" s="235">
        <f>SUM(K11:K16)</f>
        <v>25039</v>
      </c>
      <c r="L17" s="184">
        <f>SUM(L11:L16)</f>
        <v>11827</v>
      </c>
      <c r="M17" s="236">
        <f>SUM(M11:M16)</f>
        <v>13212</v>
      </c>
    </row>
    <row r="18" spans="1:13" s="96" customFormat="1" ht="13.5" thickBot="1" x14ac:dyDescent="0.25">
      <c r="A18" s="206"/>
      <c r="B18" s="97"/>
      <c r="C18" s="97"/>
      <c r="D18" s="218"/>
      <c r="E18" s="237"/>
      <c r="F18" s="209"/>
      <c r="G18" s="238"/>
      <c r="H18" s="237"/>
      <c r="I18" s="209"/>
      <c r="J18" s="238"/>
      <c r="K18" s="237"/>
      <c r="L18" s="209"/>
      <c r="M18" s="238"/>
    </row>
    <row r="19" spans="1:13" s="96" customFormat="1" ht="14.25" thickTop="1" thickBot="1" x14ac:dyDescent="0.25">
      <c r="A19" s="205" t="s">
        <v>407</v>
      </c>
      <c r="B19" s="187"/>
      <c r="C19" s="187"/>
      <c r="D19" s="219"/>
      <c r="E19" s="231">
        <f>+E17</f>
        <v>25039</v>
      </c>
      <c r="F19" s="189">
        <f>+F17</f>
        <v>11827</v>
      </c>
      <c r="G19" s="232">
        <f>+G17</f>
        <v>13212</v>
      </c>
      <c r="H19" s="231"/>
      <c r="I19" s="189"/>
      <c r="J19" s="232"/>
      <c r="K19" s="231">
        <f>+K17</f>
        <v>25039</v>
      </c>
      <c r="L19" s="189">
        <f>+L17</f>
        <v>11827</v>
      </c>
      <c r="M19" s="232">
        <f>+M17</f>
        <v>13212</v>
      </c>
    </row>
    <row r="20" spans="1:13" s="96" customFormat="1" ht="13.5" thickTop="1" x14ac:dyDescent="0.2">
      <c r="A20" s="220"/>
      <c r="B20" s="105"/>
      <c r="C20" s="105"/>
      <c r="D20" s="221"/>
      <c r="E20" s="229"/>
      <c r="F20" s="182"/>
      <c r="G20" s="230"/>
      <c r="H20" s="229"/>
      <c r="I20" s="182"/>
      <c r="J20" s="230"/>
      <c r="K20" s="229"/>
      <c r="L20" s="182"/>
      <c r="M20" s="230"/>
    </row>
    <row r="21" spans="1:13" s="96" customFormat="1" x14ac:dyDescent="0.2">
      <c r="A21" s="105">
        <v>2</v>
      </c>
      <c r="B21" s="105">
        <v>21</v>
      </c>
      <c r="C21" s="105">
        <v>2122</v>
      </c>
      <c r="D21" s="221" t="s">
        <v>143</v>
      </c>
      <c r="E21" s="229">
        <f t="shared" si="0"/>
        <v>1</v>
      </c>
      <c r="F21" s="182"/>
      <c r="G21" s="230">
        <v>1</v>
      </c>
      <c r="H21" s="229"/>
      <c r="I21" s="182"/>
      <c r="J21" s="230"/>
      <c r="K21" s="229">
        <f t="shared" ref="K21:K24" si="6">+L21+M21</f>
        <v>1</v>
      </c>
      <c r="L21" s="182">
        <f t="shared" ref="L21:L22" si="7">+F21+I21</f>
        <v>0</v>
      </c>
      <c r="M21" s="230">
        <f>+G21+J21</f>
        <v>1</v>
      </c>
    </row>
    <row r="22" spans="1:13" s="96" customFormat="1" x14ac:dyDescent="0.2">
      <c r="A22" s="105">
        <v>2</v>
      </c>
      <c r="B22" s="105">
        <v>21</v>
      </c>
      <c r="C22" s="105">
        <v>2141</v>
      </c>
      <c r="D22" s="221" t="s">
        <v>144</v>
      </c>
      <c r="E22" s="229">
        <f t="shared" si="0"/>
        <v>2357</v>
      </c>
      <c r="F22" s="182"/>
      <c r="G22" s="230">
        <v>2357</v>
      </c>
      <c r="H22" s="229"/>
      <c r="I22" s="182"/>
      <c r="J22" s="230"/>
      <c r="K22" s="229">
        <f t="shared" si="6"/>
        <v>2357</v>
      </c>
      <c r="L22" s="182">
        <f t="shared" si="7"/>
        <v>0</v>
      </c>
      <c r="M22" s="230">
        <f>+G22+J22</f>
        <v>2357</v>
      </c>
    </row>
    <row r="23" spans="1:13" s="96" customFormat="1" x14ac:dyDescent="0.2">
      <c r="A23" s="105">
        <v>2</v>
      </c>
      <c r="B23" s="105">
        <v>21</v>
      </c>
      <c r="C23" s="105">
        <v>2144</v>
      </c>
      <c r="D23" s="221" t="s">
        <v>146</v>
      </c>
      <c r="E23" s="239">
        <f>+F23+G23</f>
        <v>65</v>
      </c>
      <c r="F23" s="182"/>
      <c r="G23" s="230">
        <v>65</v>
      </c>
      <c r="H23" s="229"/>
      <c r="I23" s="182"/>
      <c r="J23" s="230"/>
      <c r="K23" s="239">
        <f t="shared" si="6"/>
        <v>65</v>
      </c>
      <c r="L23" s="182">
        <f t="shared" ref="L23:L24" si="8">+F23+I23</f>
        <v>0</v>
      </c>
      <c r="M23" s="230">
        <f t="shared" ref="M23" si="9">+G23+J23</f>
        <v>65</v>
      </c>
    </row>
    <row r="24" spans="1:13" s="96" customFormat="1" x14ac:dyDescent="0.2">
      <c r="A24" s="105">
        <v>2</v>
      </c>
      <c r="B24" s="105">
        <v>21</v>
      </c>
      <c r="C24" s="105">
        <v>2169</v>
      </c>
      <c r="D24" s="222" t="s">
        <v>147</v>
      </c>
      <c r="E24" s="229">
        <f t="shared" si="0"/>
        <v>1880</v>
      </c>
      <c r="F24" s="182"/>
      <c r="G24" s="230">
        <v>1880</v>
      </c>
      <c r="H24" s="229"/>
      <c r="I24" s="182"/>
      <c r="J24" s="230"/>
      <c r="K24" s="229">
        <f t="shared" si="6"/>
        <v>1880</v>
      </c>
      <c r="L24" s="182">
        <f t="shared" si="8"/>
        <v>0</v>
      </c>
      <c r="M24" s="230">
        <f>+G24+J24</f>
        <v>1880</v>
      </c>
    </row>
    <row r="25" spans="1:13" s="96" customFormat="1" x14ac:dyDescent="0.2">
      <c r="A25" s="197" t="s">
        <v>148</v>
      </c>
      <c r="B25" s="183"/>
      <c r="C25" s="183"/>
      <c r="D25" s="223"/>
      <c r="E25" s="240">
        <f>SUM(E21:E24)</f>
        <v>4303</v>
      </c>
      <c r="F25" s="186">
        <f>SUM(F21:F24)</f>
        <v>0</v>
      </c>
      <c r="G25" s="241">
        <f>SUM(G21:G24)</f>
        <v>4303</v>
      </c>
      <c r="H25" s="240"/>
      <c r="I25" s="186"/>
      <c r="J25" s="241"/>
      <c r="K25" s="240">
        <f>SUM(K21:K24)</f>
        <v>4303</v>
      </c>
      <c r="L25" s="186">
        <f>SUM(L21:L24)</f>
        <v>0</v>
      </c>
      <c r="M25" s="241">
        <f>SUM(M21:M24)</f>
        <v>4303</v>
      </c>
    </row>
    <row r="26" spans="1:13" s="96" customFormat="1" x14ac:dyDescent="0.2">
      <c r="A26" s="199"/>
      <c r="B26" s="181"/>
      <c r="C26" s="181"/>
      <c r="D26" s="224"/>
      <c r="E26" s="239"/>
      <c r="F26" s="185"/>
      <c r="G26" s="234"/>
      <c r="H26" s="239"/>
      <c r="I26" s="185"/>
      <c r="J26" s="234"/>
      <c r="K26" s="239"/>
      <c r="L26" s="185"/>
      <c r="M26" s="234"/>
    </row>
    <row r="27" spans="1:13" s="96" customFormat="1" x14ac:dyDescent="0.2">
      <c r="A27" s="181">
        <v>2</v>
      </c>
      <c r="B27" s="181">
        <v>22</v>
      </c>
      <c r="C27" s="181">
        <v>2212</v>
      </c>
      <c r="D27" s="215" t="s">
        <v>149</v>
      </c>
      <c r="E27" s="239">
        <f t="shared" si="0"/>
        <v>620</v>
      </c>
      <c r="F27" s="182">
        <v>600</v>
      </c>
      <c r="G27" s="230">
        <v>20</v>
      </c>
      <c r="H27" s="239"/>
      <c r="I27" s="182"/>
      <c r="J27" s="230"/>
      <c r="K27" s="239">
        <f>+L27+M27</f>
        <v>620</v>
      </c>
      <c r="L27" s="182">
        <f t="shared" ref="L27:M31" si="10">+F27+I27</f>
        <v>600</v>
      </c>
      <c r="M27" s="230">
        <f t="shared" si="10"/>
        <v>20</v>
      </c>
    </row>
    <row r="28" spans="1:13" s="96" customFormat="1" x14ac:dyDescent="0.2">
      <c r="A28" s="181">
        <v>2</v>
      </c>
      <c r="B28" s="181">
        <v>22</v>
      </c>
      <c r="C28" s="181">
        <v>2219</v>
      </c>
      <c r="D28" s="215" t="s">
        <v>150</v>
      </c>
      <c r="E28" s="239">
        <f t="shared" ref="E28:E30" si="11">+F28+G28</f>
        <v>147510</v>
      </c>
      <c r="F28" s="182">
        <v>147506</v>
      </c>
      <c r="G28" s="230">
        <v>4</v>
      </c>
      <c r="H28" s="239"/>
      <c r="I28" s="182"/>
      <c r="J28" s="230"/>
      <c r="K28" s="239">
        <f>+L28+M28</f>
        <v>147510</v>
      </c>
      <c r="L28" s="182">
        <f t="shared" ref="L28" si="12">+F28+I28</f>
        <v>147506</v>
      </c>
      <c r="M28" s="230">
        <f t="shared" ref="M28" si="13">+G28+J28</f>
        <v>4</v>
      </c>
    </row>
    <row r="29" spans="1:13" s="96" customFormat="1" x14ac:dyDescent="0.2">
      <c r="A29" s="181">
        <v>2</v>
      </c>
      <c r="B29" s="181">
        <v>22</v>
      </c>
      <c r="C29" s="181">
        <v>2229</v>
      </c>
      <c r="D29" s="215" t="s">
        <v>415</v>
      </c>
      <c r="E29" s="239">
        <f t="shared" ref="E29" si="14">+F29+G29</f>
        <v>4500</v>
      </c>
      <c r="F29" s="182">
        <v>4500</v>
      </c>
      <c r="G29" s="230"/>
      <c r="H29" s="239"/>
      <c r="I29" s="182"/>
      <c r="J29" s="230"/>
      <c r="K29" s="239"/>
      <c r="L29" s="182"/>
      <c r="M29" s="230"/>
    </row>
    <row r="30" spans="1:13" s="96" customFormat="1" x14ac:dyDescent="0.2">
      <c r="A30" s="181">
        <v>2</v>
      </c>
      <c r="B30" s="181">
        <v>22</v>
      </c>
      <c r="C30" s="181">
        <v>2271</v>
      </c>
      <c r="D30" s="215" t="s">
        <v>219</v>
      </c>
      <c r="E30" s="239">
        <f t="shared" si="11"/>
        <v>84</v>
      </c>
      <c r="F30" s="182">
        <v>84</v>
      </c>
      <c r="G30" s="230"/>
      <c r="H30" s="239"/>
      <c r="I30" s="182"/>
      <c r="J30" s="230"/>
      <c r="K30" s="239"/>
      <c r="L30" s="182"/>
      <c r="M30" s="230"/>
    </row>
    <row r="31" spans="1:13" s="96" customFormat="1" x14ac:dyDescent="0.2">
      <c r="A31" s="181">
        <v>2</v>
      </c>
      <c r="B31" s="181">
        <v>22</v>
      </c>
      <c r="C31" s="181">
        <v>2299</v>
      </c>
      <c r="D31" s="215" t="s">
        <v>220</v>
      </c>
      <c r="E31" s="239">
        <f t="shared" si="0"/>
        <v>7</v>
      </c>
      <c r="F31" s="182">
        <v>7</v>
      </c>
      <c r="G31" s="230"/>
      <c r="H31" s="239"/>
      <c r="I31" s="182"/>
      <c r="J31" s="230"/>
      <c r="K31" s="239">
        <f>+L31+M31</f>
        <v>7</v>
      </c>
      <c r="L31" s="182">
        <f t="shared" si="10"/>
        <v>7</v>
      </c>
      <c r="M31" s="230">
        <f t="shared" si="10"/>
        <v>0</v>
      </c>
    </row>
    <row r="32" spans="1:13" s="96" customFormat="1" x14ac:dyDescent="0.2">
      <c r="A32" s="197" t="s">
        <v>151</v>
      </c>
      <c r="B32" s="183"/>
      <c r="C32" s="183"/>
      <c r="D32" s="217"/>
      <c r="E32" s="240">
        <f>SUM(E27:E31)</f>
        <v>152721</v>
      </c>
      <c r="F32" s="186">
        <f>SUM(F27:F31)</f>
        <v>152697</v>
      </c>
      <c r="G32" s="241">
        <f>SUM(G27:G31)</f>
        <v>24</v>
      </c>
      <c r="H32" s="240"/>
      <c r="I32" s="186"/>
      <c r="J32" s="241"/>
      <c r="K32" s="240">
        <f>SUM(K27:K31)</f>
        <v>148137</v>
      </c>
      <c r="L32" s="186">
        <f>SUM(L27:L31)</f>
        <v>148113</v>
      </c>
      <c r="M32" s="241">
        <f>SUM(M27:M31)</f>
        <v>24</v>
      </c>
    </row>
    <row r="33" spans="1:13" s="96" customFormat="1" x14ac:dyDescent="0.2">
      <c r="A33" s="199"/>
      <c r="B33" s="181"/>
      <c r="C33" s="181"/>
      <c r="D33" s="215"/>
      <c r="E33" s="239"/>
      <c r="F33" s="182"/>
      <c r="G33" s="230"/>
      <c r="H33" s="239"/>
      <c r="I33" s="182"/>
      <c r="J33" s="230"/>
      <c r="K33" s="239"/>
      <c r="L33" s="182"/>
      <c r="M33" s="230">
        <f>+G33+J33</f>
        <v>0</v>
      </c>
    </row>
    <row r="34" spans="1:13" s="96" customFormat="1" x14ac:dyDescent="0.2">
      <c r="A34" s="181">
        <v>2</v>
      </c>
      <c r="B34" s="181">
        <v>23</v>
      </c>
      <c r="C34" s="181">
        <v>2329</v>
      </c>
      <c r="D34" s="215" t="s">
        <v>223</v>
      </c>
      <c r="E34" s="239">
        <f t="shared" ref="E34" si="15">+F34+G34</f>
        <v>1000</v>
      </c>
      <c r="F34" s="182">
        <v>1000</v>
      </c>
      <c r="G34" s="230"/>
      <c r="H34" s="239">
        <f>+I34+J34</f>
        <v>0</v>
      </c>
      <c r="I34" s="182"/>
      <c r="J34" s="230"/>
      <c r="K34" s="229">
        <f>+L34+M34</f>
        <v>1000</v>
      </c>
      <c r="L34" s="182">
        <f>+F34+I34</f>
        <v>1000</v>
      </c>
      <c r="M34" s="230">
        <f t="shared" ref="M34" si="16">+G34+J34</f>
        <v>0</v>
      </c>
    </row>
    <row r="35" spans="1:13" s="96" customFormat="1" x14ac:dyDescent="0.2">
      <c r="A35" s="181">
        <v>2</v>
      </c>
      <c r="B35" s="181">
        <v>23</v>
      </c>
      <c r="C35" s="181">
        <v>2399</v>
      </c>
      <c r="D35" s="215" t="s">
        <v>152</v>
      </c>
      <c r="E35" s="239">
        <f t="shared" si="0"/>
        <v>100</v>
      </c>
      <c r="F35" s="182">
        <v>100</v>
      </c>
      <c r="G35" s="230"/>
      <c r="H35" s="239">
        <f>+I35+J35</f>
        <v>0</v>
      </c>
      <c r="I35" s="182"/>
      <c r="J35" s="230"/>
      <c r="K35" s="229">
        <f>+L35+M35</f>
        <v>100</v>
      </c>
      <c r="L35" s="182">
        <f>+F35+I35</f>
        <v>100</v>
      </c>
      <c r="M35" s="230">
        <f t="shared" ref="M35" si="17">+G35+J35</f>
        <v>0</v>
      </c>
    </row>
    <row r="36" spans="1:13" s="96" customFormat="1" x14ac:dyDescent="0.2">
      <c r="A36" s="197" t="s">
        <v>153</v>
      </c>
      <c r="B36" s="183"/>
      <c r="C36" s="183"/>
      <c r="D36" s="217"/>
      <c r="E36" s="240">
        <f>SUM(E34:E35)</f>
        <v>1100</v>
      </c>
      <c r="F36" s="186">
        <f t="shared" ref="F36:J36" si="18">SUM(F34:F35)</f>
        <v>1100</v>
      </c>
      <c r="G36" s="241">
        <f t="shared" si="18"/>
        <v>0</v>
      </c>
      <c r="H36" s="240">
        <f t="shared" si="18"/>
        <v>0</v>
      </c>
      <c r="I36" s="186">
        <f t="shared" si="18"/>
        <v>0</v>
      </c>
      <c r="J36" s="241">
        <f t="shared" si="18"/>
        <v>0</v>
      </c>
      <c r="K36" s="240">
        <f t="shared" ref="K36:M36" si="19">SUM(K35:K35)</f>
        <v>100</v>
      </c>
      <c r="L36" s="186">
        <f t="shared" si="19"/>
        <v>100</v>
      </c>
      <c r="M36" s="241">
        <f t="shared" si="19"/>
        <v>0</v>
      </c>
    </row>
    <row r="37" spans="1:13" s="96" customFormat="1" x14ac:dyDescent="0.2">
      <c r="A37" s="100"/>
      <c r="B37" s="99"/>
      <c r="C37" s="99"/>
      <c r="D37" s="225"/>
      <c r="E37" s="242"/>
      <c r="F37" s="210"/>
      <c r="G37" s="243"/>
      <c r="H37" s="242"/>
      <c r="I37" s="210"/>
      <c r="J37" s="243"/>
      <c r="K37" s="242"/>
      <c r="L37" s="210"/>
      <c r="M37" s="243"/>
    </row>
    <row r="38" spans="1:13" s="96" customFormat="1" x14ac:dyDescent="0.2">
      <c r="A38" s="181">
        <v>2</v>
      </c>
      <c r="B38" s="181">
        <v>24</v>
      </c>
      <c r="C38" s="181">
        <v>2411</v>
      </c>
      <c r="D38" s="376" t="s">
        <v>328</v>
      </c>
      <c r="E38" s="377">
        <f t="shared" ref="E38" si="20">+F38+G38</f>
        <v>200</v>
      </c>
      <c r="F38" s="378"/>
      <c r="G38" s="379">
        <v>200</v>
      </c>
      <c r="H38" s="377">
        <f>+I38+J38</f>
        <v>0</v>
      </c>
      <c r="I38" s="378"/>
      <c r="J38" s="379"/>
      <c r="K38" s="229">
        <f>+L38+M38</f>
        <v>200</v>
      </c>
      <c r="L38" s="182">
        <f>+F38+I38</f>
        <v>0</v>
      </c>
      <c r="M38" s="230">
        <f t="shared" ref="M38" si="21">+G38+J38</f>
        <v>200</v>
      </c>
    </row>
    <row r="39" spans="1:13" s="96" customFormat="1" x14ac:dyDescent="0.2">
      <c r="A39" s="99">
        <v>2</v>
      </c>
      <c r="B39" s="99">
        <v>24</v>
      </c>
      <c r="C39" s="99">
        <v>2419</v>
      </c>
      <c r="D39" s="225" t="s">
        <v>317</v>
      </c>
      <c r="E39" s="229">
        <f t="shared" si="0"/>
        <v>34</v>
      </c>
      <c r="F39" s="209"/>
      <c r="G39" s="238">
        <v>34</v>
      </c>
      <c r="H39" s="237"/>
      <c r="I39" s="209"/>
      <c r="J39" s="238"/>
      <c r="K39" s="229"/>
      <c r="L39" s="182"/>
      <c r="M39" s="230"/>
    </row>
    <row r="40" spans="1:13" s="96" customFormat="1" x14ac:dyDescent="0.2">
      <c r="A40" s="197" t="s">
        <v>327</v>
      </c>
      <c r="B40" s="183"/>
      <c r="C40" s="183"/>
      <c r="D40" s="391"/>
      <c r="E40" s="392">
        <f>SUM(E38:E39)</f>
        <v>234</v>
      </c>
      <c r="F40" s="393">
        <f t="shared" ref="F40:J40" si="22">SUM(F38:F39)</f>
        <v>0</v>
      </c>
      <c r="G40" s="394">
        <f t="shared" si="22"/>
        <v>234</v>
      </c>
      <c r="H40" s="392">
        <f t="shared" si="22"/>
        <v>0</v>
      </c>
      <c r="I40" s="393">
        <f t="shared" si="22"/>
        <v>0</v>
      </c>
      <c r="J40" s="394">
        <f t="shared" si="22"/>
        <v>0</v>
      </c>
      <c r="K40" s="240">
        <f t="shared" ref="K40:M40" si="23">SUM(K38:K38)</f>
        <v>200</v>
      </c>
      <c r="L40" s="186">
        <f t="shared" si="23"/>
        <v>0</v>
      </c>
      <c r="M40" s="241">
        <f t="shared" si="23"/>
        <v>200</v>
      </c>
    </row>
    <row r="41" spans="1:13" s="96" customFormat="1" ht="13.5" thickBot="1" x14ac:dyDescent="0.25">
      <c r="A41" s="100"/>
      <c r="B41" s="99"/>
      <c r="C41" s="99"/>
      <c r="D41" s="225"/>
      <c r="E41" s="242"/>
      <c r="F41" s="210"/>
      <c r="G41" s="243"/>
      <c r="H41" s="242"/>
      <c r="I41" s="210"/>
      <c r="J41" s="243"/>
      <c r="K41" s="242"/>
      <c r="L41" s="210"/>
      <c r="M41" s="243"/>
    </row>
    <row r="42" spans="1:13" s="96" customFormat="1" ht="14.25" thickTop="1" thickBot="1" x14ac:dyDescent="0.25">
      <c r="A42" s="205" t="s">
        <v>154</v>
      </c>
      <c r="B42" s="187"/>
      <c r="C42" s="187"/>
      <c r="D42" s="219"/>
      <c r="E42" s="231">
        <f>+E25+E32+E36+E40</f>
        <v>158358</v>
      </c>
      <c r="F42" s="189">
        <f t="shared" ref="F42:G42" si="24">+F25+F32+F36+F40</f>
        <v>153797</v>
      </c>
      <c r="G42" s="232">
        <f t="shared" si="24"/>
        <v>4561</v>
      </c>
      <c r="H42" s="231">
        <f t="shared" ref="H42:M42" si="25">+H25+H32+H36</f>
        <v>0</v>
      </c>
      <c r="I42" s="189">
        <f t="shared" si="25"/>
        <v>0</v>
      </c>
      <c r="J42" s="232">
        <f t="shared" si="25"/>
        <v>0</v>
      </c>
      <c r="K42" s="231">
        <f t="shared" si="25"/>
        <v>152540</v>
      </c>
      <c r="L42" s="189">
        <f t="shared" si="25"/>
        <v>148213</v>
      </c>
      <c r="M42" s="232">
        <f t="shared" si="25"/>
        <v>4327</v>
      </c>
    </row>
    <row r="43" spans="1:13" s="96" customFormat="1" ht="13.5" thickTop="1" x14ac:dyDescent="0.2">
      <c r="A43" s="220"/>
      <c r="B43" s="105"/>
      <c r="C43" s="105"/>
      <c r="D43" s="221"/>
      <c r="E43" s="229"/>
      <c r="F43" s="182"/>
      <c r="G43" s="230"/>
      <c r="H43" s="229"/>
      <c r="I43" s="182"/>
      <c r="J43" s="230"/>
      <c r="K43" s="229"/>
      <c r="L43" s="182"/>
      <c r="M43" s="230"/>
    </row>
    <row r="44" spans="1:13" s="96" customFormat="1" x14ac:dyDescent="0.2">
      <c r="A44" s="105">
        <v>3</v>
      </c>
      <c r="B44" s="105">
        <v>31</v>
      </c>
      <c r="C44" s="105">
        <v>3111</v>
      </c>
      <c r="D44" s="221" t="s">
        <v>155</v>
      </c>
      <c r="E44" s="229">
        <f t="shared" si="0"/>
        <v>4005</v>
      </c>
      <c r="F44" s="182"/>
      <c r="G44" s="230">
        <v>4005</v>
      </c>
      <c r="H44" s="229"/>
      <c r="I44" s="182"/>
      <c r="J44" s="230"/>
      <c r="K44" s="229">
        <f t="shared" ref="K44:K48" si="26">+L44+M44</f>
        <v>4005</v>
      </c>
      <c r="L44" s="182">
        <f t="shared" ref="L44" si="27">+F44+I44</f>
        <v>0</v>
      </c>
      <c r="M44" s="230">
        <f t="shared" ref="M44:M48" si="28">+G44+J44</f>
        <v>4005</v>
      </c>
    </row>
    <row r="45" spans="1:13" s="96" customFormat="1" x14ac:dyDescent="0.2">
      <c r="A45" s="181">
        <v>3</v>
      </c>
      <c r="B45" s="181">
        <v>31</v>
      </c>
      <c r="C45" s="181">
        <v>3113</v>
      </c>
      <c r="D45" s="215" t="s">
        <v>156</v>
      </c>
      <c r="E45" s="229">
        <f t="shared" si="0"/>
        <v>20752</v>
      </c>
      <c r="F45" s="182">
        <v>7011</v>
      </c>
      <c r="G45" s="230">
        <v>13741</v>
      </c>
      <c r="H45" s="239"/>
      <c r="I45" s="182"/>
      <c r="J45" s="230"/>
      <c r="K45" s="239">
        <f t="shared" si="26"/>
        <v>20752</v>
      </c>
      <c r="L45" s="182">
        <f>+F45+I45</f>
        <v>7011</v>
      </c>
      <c r="M45" s="230">
        <f t="shared" si="28"/>
        <v>13741</v>
      </c>
    </row>
    <row r="46" spans="1:13" s="96" customFormat="1" x14ac:dyDescent="0.2">
      <c r="A46" s="181">
        <v>3</v>
      </c>
      <c r="B46" s="181">
        <v>31</v>
      </c>
      <c r="C46" s="181">
        <v>3119</v>
      </c>
      <c r="D46" s="215" t="s">
        <v>332</v>
      </c>
      <c r="E46" s="239">
        <f>+F46+G46</f>
        <v>400</v>
      </c>
      <c r="F46" s="182"/>
      <c r="G46" s="230">
        <v>400</v>
      </c>
      <c r="H46" s="239"/>
      <c r="I46" s="182"/>
      <c r="J46" s="230"/>
      <c r="K46" s="239">
        <f t="shared" si="26"/>
        <v>400</v>
      </c>
      <c r="L46" s="182">
        <f t="shared" ref="L46:L48" si="29">+F46+I46</f>
        <v>0</v>
      </c>
      <c r="M46" s="230">
        <f t="shared" si="28"/>
        <v>400</v>
      </c>
    </row>
    <row r="47" spans="1:13" s="96" customFormat="1" x14ac:dyDescent="0.2">
      <c r="A47" s="181">
        <v>3</v>
      </c>
      <c r="B47" s="181">
        <v>31</v>
      </c>
      <c r="C47" s="181">
        <v>3146</v>
      </c>
      <c r="D47" s="215" t="s">
        <v>416</v>
      </c>
      <c r="E47" s="229">
        <f t="shared" ref="E47" si="30">+F47+G47</f>
        <v>10</v>
      </c>
      <c r="F47" s="182"/>
      <c r="G47" s="230">
        <v>10</v>
      </c>
      <c r="H47" s="239"/>
      <c r="I47" s="182"/>
      <c r="J47" s="230"/>
      <c r="K47" s="239">
        <f t="shared" si="26"/>
        <v>10</v>
      </c>
      <c r="L47" s="182">
        <f t="shared" ref="L47" si="31">+F47+I47</f>
        <v>0</v>
      </c>
      <c r="M47" s="230">
        <f t="shared" si="28"/>
        <v>10</v>
      </c>
    </row>
    <row r="48" spans="1:13" s="96" customFormat="1" x14ac:dyDescent="0.2">
      <c r="A48" s="181">
        <v>3</v>
      </c>
      <c r="B48" s="181">
        <v>32</v>
      </c>
      <c r="C48" s="181">
        <v>3233</v>
      </c>
      <c r="D48" s="215" t="s">
        <v>232</v>
      </c>
      <c r="E48" s="229">
        <f t="shared" si="0"/>
        <v>510</v>
      </c>
      <c r="F48" s="182"/>
      <c r="G48" s="230">
        <v>510</v>
      </c>
      <c r="H48" s="239"/>
      <c r="I48" s="182"/>
      <c r="J48" s="230"/>
      <c r="K48" s="239">
        <f t="shared" si="26"/>
        <v>510</v>
      </c>
      <c r="L48" s="182">
        <f t="shared" si="29"/>
        <v>0</v>
      </c>
      <c r="M48" s="230">
        <f t="shared" si="28"/>
        <v>510</v>
      </c>
    </row>
    <row r="49" spans="1:13" s="96" customFormat="1" x14ac:dyDescent="0.2">
      <c r="A49" s="197" t="s">
        <v>157</v>
      </c>
      <c r="B49" s="183"/>
      <c r="C49" s="183"/>
      <c r="D49" s="217"/>
      <c r="E49" s="240">
        <f>SUM(E44:E48)</f>
        <v>25677</v>
      </c>
      <c r="F49" s="186">
        <f>SUM(F44:F48)</f>
        <v>7011</v>
      </c>
      <c r="G49" s="241">
        <f>SUM(G44:G48)</f>
        <v>18666</v>
      </c>
      <c r="H49" s="240"/>
      <c r="I49" s="186"/>
      <c r="J49" s="241"/>
      <c r="K49" s="240">
        <f>SUM(K44:K48)</f>
        <v>25677</v>
      </c>
      <c r="L49" s="186">
        <f>SUM(L44:L48)</f>
        <v>7011</v>
      </c>
      <c r="M49" s="241">
        <f>SUM(M44:M48)</f>
        <v>18666</v>
      </c>
    </row>
    <row r="50" spans="1:13" s="96" customFormat="1" x14ac:dyDescent="0.2">
      <c r="A50" s="199"/>
      <c r="B50" s="181"/>
      <c r="C50" s="181"/>
      <c r="D50" s="215"/>
      <c r="E50" s="239"/>
      <c r="F50" s="182"/>
      <c r="G50" s="230"/>
      <c r="H50" s="239"/>
      <c r="I50" s="182"/>
      <c r="J50" s="230"/>
      <c r="K50" s="239"/>
      <c r="L50" s="182"/>
      <c r="M50" s="230"/>
    </row>
    <row r="51" spans="1:13" s="96" customFormat="1" x14ac:dyDescent="0.2">
      <c r="A51" s="181">
        <v>3</v>
      </c>
      <c r="B51" s="181">
        <v>33</v>
      </c>
      <c r="C51" s="181">
        <v>3311</v>
      </c>
      <c r="D51" s="215" t="s">
        <v>158</v>
      </c>
      <c r="E51" s="239">
        <f t="shared" si="0"/>
        <v>100691</v>
      </c>
      <c r="F51" s="182">
        <v>100691</v>
      </c>
      <c r="G51" s="230"/>
      <c r="H51" s="239"/>
      <c r="I51" s="182"/>
      <c r="J51" s="230"/>
      <c r="K51" s="239">
        <f t="shared" ref="K51:K60" si="32">+L51+M51</f>
        <v>100691</v>
      </c>
      <c r="L51" s="182">
        <f t="shared" ref="L51:M60" si="33">+F51+I51</f>
        <v>100691</v>
      </c>
      <c r="M51" s="230">
        <f t="shared" si="33"/>
        <v>0</v>
      </c>
    </row>
    <row r="52" spans="1:13" s="96" customFormat="1" x14ac:dyDescent="0.2">
      <c r="A52" s="181">
        <v>3</v>
      </c>
      <c r="B52" s="181">
        <v>33</v>
      </c>
      <c r="C52" s="181">
        <v>3313</v>
      </c>
      <c r="D52" s="215" t="s">
        <v>235</v>
      </c>
      <c r="E52" s="239">
        <f t="shared" si="0"/>
        <v>229</v>
      </c>
      <c r="F52" s="182"/>
      <c r="G52" s="230">
        <v>229</v>
      </c>
      <c r="H52" s="239"/>
      <c r="I52" s="182"/>
      <c r="J52" s="230"/>
      <c r="K52" s="239">
        <f>+L52+M52</f>
        <v>229</v>
      </c>
      <c r="L52" s="182">
        <f t="shared" si="33"/>
        <v>0</v>
      </c>
      <c r="M52" s="230">
        <f t="shared" si="33"/>
        <v>229</v>
      </c>
    </row>
    <row r="53" spans="1:13" s="96" customFormat="1" x14ac:dyDescent="0.2">
      <c r="A53" s="181">
        <v>3</v>
      </c>
      <c r="B53" s="181">
        <v>33</v>
      </c>
      <c r="C53" s="181">
        <v>3314</v>
      </c>
      <c r="D53" s="215" t="s">
        <v>160</v>
      </c>
      <c r="E53" s="239">
        <f t="shared" si="0"/>
        <v>1990</v>
      </c>
      <c r="F53" s="182">
        <v>1990</v>
      </c>
      <c r="G53" s="230"/>
      <c r="H53" s="239"/>
      <c r="I53" s="182"/>
      <c r="J53" s="230"/>
      <c r="K53" s="239">
        <f t="shared" si="32"/>
        <v>1990</v>
      </c>
      <c r="L53" s="182">
        <f t="shared" si="33"/>
        <v>1990</v>
      </c>
      <c r="M53" s="230">
        <f t="shared" si="33"/>
        <v>0</v>
      </c>
    </row>
    <row r="54" spans="1:13" s="96" customFormat="1" x14ac:dyDescent="0.2">
      <c r="A54" s="181">
        <v>3</v>
      </c>
      <c r="B54" s="181">
        <v>33</v>
      </c>
      <c r="C54" s="181">
        <v>3315</v>
      </c>
      <c r="D54" s="215" t="s">
        <v>161</v>
      </c>
      <c r="E54" s="239">
        <f t="shared" si="0"/>
        <v>2241</v>
      </c>
      <c r="F54" s="182">
        <v>2241</v>
      </c>
      <c r="G54" s="230"/>
      <c r="H54" s="239"/>
      <c r="I54" s="182"/>
      <c r="J54" s="230"/>
      <c r="K54" s="239">
        <f t="shared" si="32"/>
        <v>2241</v>
      </c>
      <c r="L54" s="182">
        <f t="shared" si="33"/>
        <v>2241</v>
      </c>
      <c r="M54" s="230">
        <f t="shared" si="33"/>
        <v>0</v>
      </c>
    </row>
    <row r="55" spans="1:13" s="96" customFormat="1" x14ac:dyDescent="0.2">
      <c r="A55" s="181">
        <v>3</v>
      </c>
      <c r="B55" s="181">
        <v>33</v>
      </c>
      <c r="C55" s="181">
        <v>3317</v>
      </c>
      <c r="D55" s="215" t="s">
        <v>162</v>
      </c>
      <c r="E55" s="239">
        <f t="shared" si="0"/>
        <v>2220</v>
      </c>
      <c r="F55" s="182">
        <v>2220</v>
      </c>
      <c r="G55" s="230"/>
      <c r="H55" s="239"/>
      <c r="I55" s="182"/>
      <c r="J55" s="230"/>
      <c r="K55" s="239">
        <f t="shared" si="32"/>
        <v>2220</v>
      </c>
      <c r="L55" s="182">
        <f t="shared" si="33"/>
        <v>2220</v>
      </c>
      <c r="M55" s="230">
        <f t="shared" si="33"/>
        <v>0</v>
      </c>
    </row>
    <row r="56" spans="1:13" s="96" customFormat="1" x14ac:dyDescent="0.2">
      <c r="A56" s="181">
        <v>3</v>
      </c>
      <c r="B56" s="181">
        <v>33</v>
      </c>
      <c r="C56" s="181">
        <v>3319</v>
      </c>
      <c r="D56" s="215" t="s">
        <v>163</v>
      </c>
      <c r="E56" s="239">
        <f t="shared" si="0"/>
        <v>9358</v>
      </c>
      <c r="F56" s="182">
        <v>7975</v>
      </c>
      <c r="G56" s="230">
        <v>1383</v>
      </c>
      <c r="H56" s="239">
        <f>+I56+J56</f>
        <v>0</v>
      </c>
      <c r="I56" s="182"/>
      <c r="J56" s="230"/>
      <c r="K56" s="239">
        <f t="shared" si="32"/>
        <v>9358</v>
      </c>
      <c r="L56" s="182">
        <f t="shared" si="33"/>
        <v>7975</v>
      </c>
      <c r="M56" s="230">
        <f t="shared" si="33"/>
        <v>1383</v>
      </c>
    </row>
    <row r="57" spans="1:13" s="96" customFormat="1" x14ac:dyDescent="0.2">
      <c r="A57" s="181">
        <v>3</v>
      </c>
      <c r="B57" s="181">
        <v>33</v>
      </c>
      <c r="C57" s="181">
        <v>3322</v>
      </c>
      <c r="D57" s="215" t="s">
        <v>164</v>
      </c>
      <c r="E57" s="239">
        <f t="shared" si="0"/>
        <v>123</v>
      </c>
      <c r="F57" s="182">
        <v>123</v>
      </c>
      <c r="G57" s="230"/>
      <c r="H57" s="239"/>
      <c r="I57" s="182"/>
      <c r="J57" s="230"/>
      <c r="K57" s="239">
        <f t="shared" si="32"/>
        <v>123</v>
      </c>
      <c r="L57" s="182">
        <f t="shared" si="33"/>
        <v>123</v>
      </c>
      <c r="M57" s="230">
        <f t="shared" si="33"/>
        <v>0</v>
      </c>
    </row>
    <row r="58" spans="1:13" s="96" customFormat="1" x14ac:dyDescent="0.2">
      <c r="A58" s="181">
        <v>3</v>
      </c>
      <c r="B58" s="181">
        <v>33</v>
      </c>
      <c r="C58" s="181">
        <v>3349</v>
      </c>
      <c r="D58" s="224" t="s">
        <v>165</v>
      </c>
      <c r="E58" s="239">
        <f t="shared" si="0"/>
        <v>1128</v>
      </c>
      <c r="F58" s="182"/>
      <c r="G58" s="230">
        <v>1128</v>
      </c>
      <c r="H58" s="239"/>
      <c r="I58" s="182"/>
      <c r="J58" s="230"/>
      <c r="K58" s="239">
        <f t="shared" si="32"/>
        <v>1128</v>
      </c>
      <c r="L58" s="182">
        <f t="shared" si="33"/>
        <v>0</v>
      </c>
      <c r="M58" s="230">
        <f t="shared" si="33"/>
        <v>1128</v>
      </c>
    </row>
    <row r="59" spans="1:13" s="96" customFormat="1" x14ac:dyDescent="0.2">
      <c r="A59" s="181">
        <v>3</v>
      </c>
      <c r="B59" s="181">
        <v>33</v>
      </c>
      <c r="C59" s="181">
        <v>3392</v>
      </c>
      <c r="D59" s="224" t="s">
        <v>166</v>
      </c>
      <c r="E59" s="239">
        <f t="shared" si="0"/>
        <v>2733</v>
      </c>
      <c r="F59" s="182"/>
      <c r="G59" s="230">
        <v>2733</v>
      </c>
      <c r="H59" s="239"/>
      <c r="I59" s="182"/>
      <c r="J59" s="230"/>
      <c r="K59" s="239">
        <f t="shared" si="32"/>
        <v>2733</v>
      </c>
      <c r="L59" s="182">
        <f t="shared" si="33"/>
        <v>0</v>
      </c>
      <c r="M59" s="230">
        <f t="shared" si="33"/>
        <v>2733</v>
      </c>
    </row>
    <row r="60" spans="1:13" s="96" customFormat="1" x14ac:dyDescent="0.2">
      <c r="A60" s="181">
        <v>3</v>
      </c>
      <c r="B60" s="181">
        <v>33</v>
      </c>
      <c r="C60" s="181">
        <v>3399</v>
      </c>
      <c r="D60" s="224" t="s">
        <v>167</v>
      </c>
      <c r="E60" s="239">
        <f t="shared" si="0"/>
        <v>2650</v>
      </c>
      <c r="F60" s="182"/>
      <c r="G60" s="230">
        <v>2650</v>
      </c>
      <c r="H60" s="239"/>
      <c r="I60" s="182"/>
      <c r="J60" s="230"/>
      <c r="K60" s="239">
        <f t="shared" si="32"/>
        <v>2650</v>
      </c>
      <c r="L60" s="182">
        <f t="shared" si="33"/>
        <v>0</v>
      </c>
      <c r="M60" s="230">
        <f t="shared" si="33"/>
        <v>2650</v>
      </c>
    </row>
    <row r="61" spans="1:13" s="96" customFormat="1" x14ac:dyDescent="0.2">
      <c r="A61" s="197" t="s">
        <v>168</v>
      </c>
      <c r="B61" s="183"/>
      <c r="C61" s="183"/>
      <c r="D61" s="223"/>
      <c r="E61" s="240">
        <f>SUM(E51:E60)</f>
        <v>123363</v>
      </c>
      <c r="F61" s="186">
        <f>SUM(F51:F60)</f>
        <v>115240</v>
      </c>
      <c r="G61" s="241">
        <f>SUM(G51:G60)</f>
        <v>8123</v>
      </c>
      <c r="H61" s="240">
        <f>+I61+J61</f>
        <v>0</v>
      </c>
      <c r="I61" s="186"/>
      <c r="J61" s="241">
        <f>SUM(J51:J60)</f>
        <v>0</v>
      </c>
      <c r="K61" s="240">
        <f>SUM(K51:K60)</f>
        <v>123363</v>
      </c>
      <c r="L61" s="186">
        <f>SUM(L51:L60)</f>
        <v>115240</v>
      </c>
      <c r="M61" s="241">
        <f>SUM(M51:M60)</f>
        <v>8123</v>
      </c>
    </row>
    <row r="62" spans="1:13" s="96" customFormat="1" x14ac:dyDescent="0.2">
      <c r="A62" s="199"/>
      <c r="B62" s="181"/>
      <c r="C62" s="181"/>
      <c r="D62" s="224"/>
      <c r="E62" s="239"/>
      <c r="F62" s="182"/>
      <c r="G62" s="230"/>
      <c r="H62" s="239"/>
      <c r="I62" s="182"/>
      <c r="J62" s="230"/>
      <c r="K62" s="239"/>
      <c r="L62" s="182"/>
      <c r="M62" s="230"/>
    </row>
    <row r="63" spans="1:13" s="96" customFormat="1" x14ac:dyDescent="0.2">
      <c r="A63" s="181">
        <v>3</v>
      </c>
      <c r="B63" s="181">
        <v>34</v>
      </c>
      <c r="C63" s="181">
        <v>3412</v>
      </c>
      <c r="D63" s="224" t="s">
        <v>417</v>
      </c>
      <c r="E63" s="239">
        <f t="shared" si="0"/>
        <v>6529</v>
      </c>
      <c r="F63" s="182">
        <v>1047</v>
      </c>
      <c r="G63" s="230">
        <v>5482</v>
      </c>
      <c r="H63" s="239">
        <f>+I63+J63</f>
        <v>0</v>
      </c>
      <c r="I63" s="182"/>
      <c r="J63" s="230"/>
      <c r="K63" s="229">
        <f>+L63+M63</f>
        <v>6529</v>
      </c>
      <c r="L63" s="182">
        <f t="shared" ref="L63:M64" si="34">+F63+I63</f>
        <v>1047</v>
      </c>
      <c r="M63" s="230">
        <f t="shared" si="34"/>
        <v>5482</v>
      </c>
    </row>
    <row r="64" spans="1:13" s="96" customFormat="1" x14ac:dyDescent="0.2">
      <c r="A64" s="181">
        <v>3</v>
      </c>
      <c r="B64" s="181">
        <v>34</v>
      </c>
      <c r="C64" s="181">
        <v>3429</v>
      </c>
      <c r="D64" s="224" t="s">
        <v>170</v>
      </c>
      <c r="E64" s="239">
        <f t="shared" ref="E64" si="35">+F64+G64</f>
        <v>276</v>
      </c>
      <c r="F64" s="182"/>
      <c r="G64" s="230">
        <v>276</v>
      </c>
      <c r="H64" s="239"/>
      <c r="I64" s="182"/>
      <c r="J64" s="230"/>
      <c r="K64" s="229">
        <f>+L64+M64</f>
        <v>276</v>
      </c>
      <c r="L64" s="182">
        <f t="shared" si="34"/>
        <v>0</v>
      </c>
      <c r="M64" s="230">
        <f t="shared" si="34"/>
        <v>276</v>
      </c>
    </row>
    <row r="65" spans="1:13" s="96" customFormat="1" x14ac:dyDescent="0.2">
      <c r="A65" s="197" t="s">
        <v>409</v>
      </c>
      <c r="B65" s="183"/>
      <c r="C65" s="183"/>
      <c r="D65" s="223"/>
      <c r="E65" s="240">
        <f t="shared" ref="E65:M65" si="36">SUM(E63:E64)</f>
        <v>6805</v>
      </c>
      <c r="F65" s="186">
        <f t="shared" si="36"/>
        <v>1047</v>
      </c>
      <c r="G65" s="241">
        <f t="shared" si="36"/>
        <v>5758</v>
      </c>
      <c r="H65" s="240">
        <f t="shared" si="36"/>
        <v>0</v>
      </c>
      <c r="I65" s="186">
        <f t="shared" si="36"/>
        <v>0</v>
      </c>
      <c r="J65" s="241">
        <f t="shared" si="36"/>
        <v>0</v>
      </c>
      <c r="K65" s="240">
        <f t="shared" si="36"/>
        <v>6805</v>
      </c>
      <c r="L65" s="186">
        <f t="shared" si="36"/>
        <v>1047</v>
      </c>
      <c r="M65" s="241">
        <f t="shared" si="36"/>
        <v>5758</v>
      </c>
    </row>
    <row r="66" spans="1:13" s="96" customFormat="1" x14ac:dyDescent="0.2">
      <c r="A66" s="199"/>
      <c r="B66" s="181"/>
      <c r="C66" s="181"/>
      <c r="D66" s="224"/>
      <c r="E66" s="239"/>
      <c r="F66" s="182"/>
      <c r="G66" s="230"/>
      <c r="H66" s="239"/>
      <c r="I66" s="182"/>
      <c r="J66" s="230"/>
      <c r="K66" s="239"/>
      <c r="L66" s="182"/>
      <c r="M66" s="230"/>
    </row>
    <row r="67" spans="1:13" s="96" customFormat="1" x14ac:dyDescent="0.2">
      <c r="A67" s="181">
        <v>3</v>
      </c>
      <c r="B67" s="181">
        <v>35</v>
      </c>
      <c r="C67" s="181">
        <v>3511</v>
      </c>
      <c r="D67" s="215" t="s">
        <v>171</v>
      </c>
      <c r="E67" s="239">
        <f t="shared" si="0"/>
        <v>10492</v>
      </c>
      <c r="F67" s="182">
        <v>2000</v>
      </c>
      <c r="G67" s="230">
        <v>8492</v>
      </c>
      <c r="H67" s="239"/>
      <c r="I67" s="182"/>
      <c r="J67" s="230"/>
      <c r="K67" s="239">
        <f>+L67+M67</f>
        <v>10492</v>
      </c>
      <c r="L67" s="182">
        <f t="shared" ref="L67:M68" si="37">+F67+I67</f>
        <v>2000</v>
      </c>
      <c r="M67" s="230">
        <f t="shared" si="37"/>
        <v>8492</v>
      </c>
    </row>
    <row r="68" spans="1:13" s="96" customFormat="1" x14ac:dyDescent="0.2">
      <c r="A68" s="181">
        <v>3</v>
      </c>
      <c r="B68" s="181">
        <v>35</v>
      </c>
      <c r="C68" s="181">
        <v>3529</v>
      </c>
      <c r="D68" s="215" t="s">
        <v>172</v>
      </c>
      <c r="E68" s="239">
        <f t="shared" si="0"/>
        <v>2114</v>
      </c>
      <c r="F68" s="182">
        <v>2114</v>
      </c>
      <c r="G68" s="230"/>
      <c r="H68" s="239"/>
      <c r="I68" s="182"/>
      <c r="J68" s="230"/>
      <c r="K68" s="239">
        <f>+L68+M68</f>
        <v>2114</v>
      </c>
      <c r="L68" s="182">
        <f t="shared" si="37"/>
        <v>2114</v>
      </c>
      <c r="M68" s="230">
        <f t="shared" si="37"/>
        <v>0</v>
      </c>
    </row>
    <row r="69" spans="1:13" s="96" customFormat="1" x14ac:dyDescent="0.2">
      <c r="A69" s="197" t="s">
        <v>173</v>
      </c>
      <c r="B69" s="183"/>
      <c r="C69" s="183"/>
      <c r="D69" s="217"/>
      <c r="E69" s="240">
        <f t="shared" ref="E69:M69" si="38">SUM(E67:E68)</f>
        <v>12606</v>
      </c>
      <c r="F69" s="184">
        <f t="shared" si="38"/>
        <v>4114</v>
      </c>
      <c r="G69" s="236">
        <f t="shared" si="38"/>
        <v>8492</v>
      </c>
      <c r="H69" s="240">
        <f t="shared" si="38"/>
        <v>0</v>
      </c>
      <c r="I69" s="184">
        <f t="shared" si="38"/>
        <v>0</v>
      </c>
      <c r="J69" s="236">
        <f t="shared" si="38"/>
        <v>0</v>
      </c>
      <c r="K69" s="240">
        <f t="shared" si="38"/>
        <v>12606</v>
      </c>
      <c r="L69" s="186">
        <f t="shared" si="38"/>
        <v>4114</v>
      </c>
      <c r="M69" s="236">
        <f t="shared" si="38"/>
        <v>8492</v>
      </c>
    </row>
    <row r="70" spans="1:13" s="96" customFormat="1" x14ac:dyDescent="0.2">
      <c r="A70" s="199"/>
      <c r="B70" s="181"/>
      <c r="C70" s="181"/>
      <c r="D70" s="215"/>
      <c r="E70" s="239"/>
      <c r="F70" s="182"/>
      <c r="G70" s="230"/>
      <c r="H70" s="239"/>
      <c r="I70" s="182"/>
      <c r="J70" s="230"/>
      <c r="K70" s="239"/>
      <c r="L70" s="182"/>
      <c r="M70" s="230"/>
    </row>
    <row r="71" spans="1:13" s="96" customFormat="1" x14ac:dyDescent="0.2">
      <c r="A71" s="181">
        <v>3</v>
      </c>
      <c r="B71" s="181">
        <v>36</v>
      </c>
      <c r="C71" s="181">
        <v>3612</v>
      </c>
      <c r="D71" s="215" t="s">
        <v>174</v>
      </c>
      <c r="E71" s="239">
        <f t="shared" si="0"/>
        <v>112138</v>
      </c>
      <c r="F71" s="182">
        <v>105747</v>
      </c>
      <c r="G71" s="230">
        <v>6391</v>
      </c>
      <c r="H71" s="239">
        <f>+I71+J71</f>
        <v>150500</v>
      </c>
      <c r="I71" s="182">
        <v>150500</v>
      </c>
      <c r="J71" s="230"/>
      <c r="K71" s="239">
        <f t="shared" ref="K71:K78" si="39">+L71+M71</f>
        <v>262638</v>
      </c>
      <c r="L71" s="182">
        <f t="shared" ref="L71:M78" si="40">+F71+I71</f>
        <v>256247</v>
      </c>
      <c r="M71" s="230">
        <f t="shared" si="40"/>
        <v>6391</v>
      </c>
    </row>
    <row r="72" spans="1:13" s="96" customFormat="1" x14ac:dyDescent="0.2">
      <c r="A72" s="181">
        <v>3</v>
      </c>
      <c r="B72" s="181">
        <v>36</v>
      </c>
      <c r="C72" s="181">
        <v>3613</v>
      </c>
      <c r="D72" s="215" t="s">
        <v>175</v>
      </c>
      <c r="E72" s="239">
        <f t="shared" si="0"/>
        <v>79210</v>
      </c>
      <c r="F72" s="182">
        <v>57200</v>
      </c>
      <c r="G72" s="230">
        <v>22010</v>
      </c>
      <c r="H72" s="239">
        <f>+I72+J72</f>
        <v>5</v>
      </c>
      <c r="I72" s="182"/>
      <c r="J72" s="230">
        <v>5</v>
      </c>
      <c r="K72" s="239">
        <f t="shared" si="39"/>
        <v>79215</v>
      </c>
      <c r="L72" s="182">
        <f t="shared" si="40"/>
        <v>57200</v>
      </c>
      <c r="M72" s="230">
        <f t="shared" si="40"/>
        <v>22015</v>
      </c>
    </row>
    <row r="73" spans="1:13" s="96" customFormat="1" x14ac:dyDescent="0.2">
      <c r="A73" s="181">
        <v>3</v>
      </c>
      <c r="B73" s="181">
        <v>36</v>
      </c>
      <c r="C73" s="181">
        <v>3619</v>
      </c>
      <c r="D73" s="215" t="s">
        <v>176</v>
      </c>
      <c r="E73" s="239">
        <f t="shared" si="0"/>
        <v>697</v>
      </c>
      <c r="F73" s="182">
        <v>697</v>
      </c>
      <c r="G73" s="230"/>
      <c r="H73" s="239"/>
      <c r="I73" s="182"/>
      <c r="J73" s="230"/>
      <c r="K73" s="239">
        <f t="shared" si="39"/>
        <v>697</v>
      </c>
      <c r="L73" s="182">
        <f t="shared" si="40"/>
        <v>697</v>
      </c>
      <c r="M73" s="230">
        <f t="shared" si="40"/>
        <v>0</v>
      </c>
    </row>
    <row r="74" spans="1:13" s="96" customFormat="1" x14ac:dyDescent="0.2">
      <c r="A74" s="181">
        <v>3</v>
      </c>
      <c r="B74" s="181">
        <v>36</v>
      </c>
      <c r="C74" s="181">
        <v>3632</v>
      </c>
      <c r="D74" s="215" t="s">
        <v>177</v>
      </c>
      <c r="E74" s="239">
        <f t="shared" si="0"/>
        <v>15266</v>
      </c>
      <c r="F74" s="182">
        <v>15086</v>
      </c>
      <c r="G74" s="230">
        <v>180</v>
      </c>
      <c r="H74" s="239"/>
      <c r="I74" s="182"/>
      <c r="J74" s="230"/>
      <c r="K74" s="239">
        <f t="shared" si="39"/>
        <v>15266</v>
      </c>
      <c r="L74" s="182">
        <f t="shared" si="40"/>
        <v>15086</v>
      </c>
      <c r="M74" s="230">
        <f t="shared" si="40"/>
        <v>180</v>
      </c>
    </row>
    <row r="75" spans="1:13" s="96" customFormat="1" x14ac:dyDescent="0.2">
      <c r="A75" s="181">
        <v>3</v>
      </c>
      <c r="B75" s="181">
        <v>36</v>
      </c>
      <c r="C75" s="181">
        <v>3633</v>
      </c>
      <c r="D75" s="215" t="s">
        <v>178</v>
      </c>
      <c r="E75" s="239">
        <f>+F75+G75</f>
        <v>50</v>
      </c>
      <c r="F75" s="182"/>
      <c r="G75" s="230">
        <v>50</v>
      </c>
      <c r="H75" s="239"/>
      <c r="I75" s="182"/>
      <c r="J75" s="230"/>
      <c r="K75" s="239">
        <f>+L75+M75</f>
        <v>50</v>
      </c>
      <c r="L75" s="182">
        <f t="shared" si="40"/>
        <v>0</v>
      </c>
      <c r="M75" s="230">
        <f t="shared" si="40"/>
        <v>50</v>
      </c>
    </row>
    <row r="76" spans="1:13" s="96" customFormat="1" x14ac:dyDescent="0.2">
      <c r="A76" s="181">
        <v>3</v>
      </c>
      <c r="B76" s="181">
        <v>36</v>
      </c>
      <c r="C76" s="181">
        <v>3635</v>
      </c>
      <c r="D76" s="215" t="s">
        <v>323</v>
      </c>
      <c r="E76" s="229">
        <f t="shared" si="0"/>
        <v>20</v>
      </c>
      <c r="F76" s="182">
        <v>20</v>
      </c>
      <c r="G76" s="230"/>
      <c r="H76" s="239"/>
      <c r="I76" s="182"/>
      <c r="J76" s="230"/>
      <c r="K76" s="239"/>
      <c r="L76" s="182"/>
      <c r="M76" s="230"/>
    </row>
    <row r="77" spans="1:13" s="96" customFormat="1" x14ac:dyDescent="0.2">
      <c r="A77" s="181">
        <v>3</v>
      </c>
      <c r="B77" s="181">
        <v>36</v>
      </c>
      <c r="C77" s="181">
        <v>3639</v>
      </c>
      <c r="D77" s="215" t="s">
        <v>179</v>
      </c>
      <c r="E77" s="239">
        <f t="shared" si="0"/>
        <v>57317</v>
      </c>
      <c r="F77" s="182">
        <v>27690</v>
      </c>
      <c r="G77" s="230">
        <v>29627</v>
      </c>
      <c r="H77" s="239">
        <f>+I77+J77</f>
        <v>200000</v>
      </c>
      <c r="I77" s="182">
        <v>200000</v>
      </c>
      <c r="J77" s="230"/>
      <c r="K77" s="239">
        <f t="shared" si="39"/>
        <v>257317</v>
      </c>
      <c r="L77" s="182">
        <f t="shared" si="40"/>
        <v>227690</v>
      </c>
      <c r="M77" s="230">
        <f t="shared" si="40"/>
        <v>29627</v>
      </c>
    </row>
    <row r="78" spans="1:13" s="96" customFormat="1" x14ac:dyDescent="0.2">
      <c r="A78" s="181">
        <v>3</v>
      </c>
      <c r="B78" s="181">
        <v>36</v>
      </c>
      <c r="C78" s="181">
        <v>3699</v>
      </c>
      <c r="D78" s="215" t="s">
        <v>436</v>
      </c>
      <c r="E78" s="239">
        <f t="shared" si="0"/>
        <v>2350</v>
      </c>
      <c r="F78" s="182"/>
      <c r="G78" s="230">
        <v>2350</v>
      </c>
      <c r="H78" s="239"/>
      <c r="I78" s="182"/>
      <c r="J78" s="230"/>
      <c r="K78" s="239">
        <f t="shared" si="39"/>
        <v>2350</v>
      </c>
      <c r="L78" s="182">
        <f t="shared" si="40"/>
        <v>0</v>
      </c>
      <c r="M78" s="230">
        <f t="shared" si="40"/>
        <v>2350</v>
      </c>
    </row>
    <row r="79" spans="1:13" s="96" customFormat="1" x14ac:dyDescent="0.2">
      <c r="A79" s="197" t="s">
        <v>180</v>
      </c>
      <c r="B79" s="183"/>
      <c r="C79" s="183"/>
      <c r="D79" s="217"/>
      <c r="E79" s="240">
        <f>SUM(E71:E78)</f>
        <v>267048</v>
      </c>
      <c r="F79" s="184">
        <f>SUM(F71:F78)</f>
        <v>206440</v>
      </c>
      <c r="G79" s="236">
        <f>SUM(G71:G78)</f>
        <v>60608</v>
      </c>
      <c r="H79" s="240">
        <f>+I79+J79</f>
        <v>350505</v>
      </c>
      <c r="I79" s="184">
        <f>SUM(I71:I77)</f>
        <v>350500</v>
      </c>
      <c r="J79" s="236">
        <f>SUM(J70:J78)</f>
        <v>5</v>
      </c>
      <c r="K79" s="240">
        <f>SUM(K71:K78)</f>
        <v>617533</v>
      </c>
      <c r="L79" s="184">
        <f>SUM(L71:L78)</f>
        <v>556920</v>
      </c>
      <c r="M79" s="236">
        <f>SUM(M71:M78)</f>
        <v>60613</v>
      </c>
    </row>
    <row r="80" spans="1:13" s="96" customFormat="1" x14ac:dyDescent="0.2">
      <c r="A80" s="199"/>
      <c r="B80" s="181"/>
      <c r="C80" s="181"/>
      <c r="D80" s="215"/>
      <c r="E80" s="239"/>
      <c r="F80" s="182"/>
      <c r="G80" s="230"/>
      <c r="H80" s="239"/>
      <c r="I80" s="182"/>
      <c r="J80" s="230"/>
      <c r="K80" s="239"/>
      <c r="L80" s="182"/>
      <c r="M80" s="230"/>
    </row>
    <row r="81" spans="1:13" s="96" customFormat="1" x14ac:dyDescent="0.2">
      <c r="A81" s="181">
        <v>3</v>
      </c>
      <c r="B81" s="181">
        <v>37</v>
      </c>
      <c r="C81" s="181">
        <v>3722</v>
      </c>
      <c r="D81" s="215" t="s">
        <v>181</v>
      </c>
      <c r="E81" s="239">
        <f>+F81+G81</f>
        <v>6</v>
      </c>
      <c r="F81" s="182"/>
      <c r="G81" s="230">
        <v>6</v>
      </c>
      <c r="H81" s="239"/>
      <c r="I81" s="182"/>
      <c r="J81" s="230"/>
      <c r="K81" s="239">
        <f>+L81+M81</f>
        <v>6</v>
      </c>
      <c r="L81" s="182">
        <f t="shared" ref="L81" si="41">+F81+I81</f>
        <v>0</v>
      </c>
      <c r="M81" s="230">
        <f t="shared" ref="M81" si="42">+G81+J81</f>
        <v>6</v>
      </c>
    </row>
    <row r="82" spans="1:13" s="96" customFormat="1" x14ac:dyDescent="0.2">
      <c r="A82" s="181">
        <v>3</v>
      </c>
      <c r="B82" s="181">
        <v>37</v>
      </c>
      <c r="C82" s="181">
        <v>3745</v>
      </c>
      <c r="D82" s="215" t="s">
        <v>182</v>
      </c>
      <c r="E82" s="239">
        <f>+F82+G82</f>
        <v>833</v>
      </c>
      <c r="F82" s="182">
        <v>642</v>
      </c>
      <c r="G82" s="230">
        <v>191</v>
      </c>
      <c r="H82" s="239">
        <f>+I82+J82</f>
        <v>0</v>
      </c>
      <c r="I82" s="182"/>
      <c r="J82" s="230"/>
      <c r="K82" s="239">
        <f>+L82+M82</f>
        <v>833</v>
      </c>
      <c r="L82" s="182">
        <f t="shared" ref="L82:M83" si="43">+F82+I82</f>
        <v>642</v>
      </c>
      <c r="M82" s="230">
        <f t="shared" si="43"/>
        <v>191</v>
      </c>
    </row>
    <row r="83" spans="1:13" s="96" customFormat="1" x14ac:dyDescent="0.2">
      <c r="A83" s="181">
        <v>3</v>
      </c>
      <c r="B83" s="181">
        <v>37</v>
      </c>
      <c r="C83" s="181">
        <v>3769</v>
      </c>
      <c r="D83" s="215" t="s">
        <v>183</v>
      </c>
      <c r="E83" s="239">
        <f>+F83+G83</f>
        <v>305</v>
      </c>
      <c r="F83" s="182">
        <v>305</v>
      </c>
      <c r="G83" s="230"/>
      <c r="H83" s="239"/>
      <c r="I83" s="182"/>
      <c r="J83" s="230"/>
      <c r="K83" s="239">
        <f>+L83+M83</f>
        <v>305</v>
      </c>
      <c r="L83" s="182">
        <f>+F83+I83</f>
        <v>305</v>
      </c>
      <c r="M83" s="230">
        <f t="shared" si="43"/>
        <v>0</v>
      </c>
    </row>
    <row r="84" spans="1:13" s="96" customFormat="1" x14ac:dyDescent="0.2">
      <c r="A84" s="197" t="s">
        <v>184</v>
      </c>
      <c r="B84" s="183"/>
      <c r="C84" s="183"/>
      <c r="D84" s="217"/>
      <c r="E84" s="240">
        <f t="shared" ref="E84:M84" si="44">SUM(E81:E83)</f>
        <v>1144</v>
      </c>
      <c r="F84" s="184">
        <f t="shared" si="44"/>
        <v>947</v>
      </c>
      <c r="G84" s="236">
        <f t="shared" si="44"/>
        <v>197</v>
      </c>
      <c r="H84" s="240">
        <f t="shared" si="44"/>
        <v>0</v>
      </c>
      <c r="I84" s="184">
        <f t="shared" si="44"/>
        <v>0</v>
      </c>
      <c r="J84" s="236">
        <f t="shared" si="44"/>
        <v>0</v>
      </c>
      <c r="K84" s="240">
        <f t="shared" si="44"/>
        <v>1144</v>
      </c>
      <c r="L84" s="184">
        <f t="shared" si="44"/>
        <v>947</v>
      </c>
      <c r="M84" s="236">
        <f t="shared" si="44"/>
        <v>197</v>
      </c>
    </row>
    <row r="85" spans="1:13" s="96" customFormat="1" ht="13.5" thickBot="1" x14ac:dyDescent="0.25">
      <c r="A85" s="206"/>
      <c r="B85" s="97"/>
      <c r="C85" s="97"/>
      <c r="D85" s="218"/>
      <c r="E85" s="244"/>
      <c r="F85" s="209"/>
      <c r="G85" s="238"/>
      <c r="H85" s="244"/>
      <c r="I85" s="209"/>
      <c r="J85" s="238"/>
      <c r="K85" s="244"/>
      <c r="L85" s="209"/>
      <c r="M85" s="238"/>
    </row>
    <row r="86" spans="1:13" s="96" customFormat="1" ht="14.25" thickTop="1" thickBot="1" x14ac:dyDescent="0.25">
      <c r="A86" s="205" t="s">
        <v>408</v>
      </c>
      <c r="B86" s="187"/>
      <c r="C86" s="187"/>
      <c r="D86" s="219"/>
      <c r="E86" s="231">
        <f>+E49+E61+E65+E69+E79+E84</f>
        <v>436643</v>
      </c>
      <c r="F86" s="189">
        <f>+F49+F61+F65+F69+F79+F84</f>
        <v>334799</v>
      </c>
      <c r="G86" s="232">
        <f>+G49+G61+G65+G69+G79+G84</f>
        <v>101844</v>
      </c>
      <c r="H86" s="231">
        <f>+I86+J86</f>
        <v>350505</v>
      </c>
      <c r="I86" s="189">
        <f>I49+I61+I65+I69+I79+I84</f>
        <v>350500</v>
      </c>
      <c r="J86" s="232">
        <f>J49+J61+J65+J69+J79+J84</f>
        <v>5</v>
      </c>
      <c r="K86" s="231">
        <f>+K84+K79+K69+K65+K61+K49</f>
        <v>787128</v>
      </c>
      <c r="L86" s="189">
        <f>+L84+L79+L69+L65+L61+L49</f>
        <v>685279</v>
      </c>
      <c r="M86" s="232">
        <f>+M84+M79+M69+M65+M61+M49</f>
        <v>101849</v>
      </c>
    </row>
    <row r="87" spans="1:13" s="96" customFormat="1" ht="13.5" thickTop="1" x14ac:dyDescent="0.2">
      <c r="A87" s="220"/>
      <c r="B87" s="105"/>
      <c r="C87" s="105"/>
      <c r="D87" s="215"/>
      <c r="E87" s="229"/>
      <c r="F87" s="182"/>
      <c r="G87" s="230"/>
      <c r="H87" s="229"/>
      <c r="I87" s="182"/>
      <c r="J87" s="230"/>
      <c r="K87" s="229"/>
      <c r="L87" s="182"/>
      <c r="M87" s="230"/>
    </row>
    <row r="88" spans="1:13" s="96" customFormat="1" x14ac:dyDescent="0.2">
      <c r="A88" s="181">
        <v>4</v>
      </c>
      <c r="B88" s="181">
        <v>43</v>
      </c>
      <c r="C88" s="181">
        <v>4341</v>
      </c>
      <c r="D88" s="215" t="s">
        <v>418</v>
      </c>
      <c r="E88" s="239">
        <f t="shared" ref="E88" si="45">+F88+G88</f>
        <v>150</v>
      </c>
      <c r="F88" s="182">
        <v>150</v>
      </c>
      <c r="G88" s="230"/>
      <c r="H88" s="239"/>
      <c r="I88" s="182"/>
      <c r="J88" s="230"/>
      <c r="K88" s="239">
        <f t="shared" ref="K88" si="46">+L88+M88</f>
        <v>150</v>
      </c>
      <c r="L88" s="182">
        <f t="shared" ref="L88" si="47">+F88+I88</f>
        <v>150</v>
      </c>
      <c r="M88" s="230">
        <f t="shared" ref="M88" si="48">+G88+J88</f>
        <v>0</v>
      </c>
    </row>
    <row r="89" spans="1:13" s="96" customFormat="1" x14ac:dyDescent="0.2">
      <c r="A89" s="181">
        <v>4</v>
      </c>
      <c r="B89" s="181">
        <v>43</v>
      </c>
      <c r="C89" s="181">
        <v>4357</v>
      </c>
      <c r="D89" s="383" t="s">
        <v>186</v>
      </c>
      <c r="E89" s="239">
        <f t="shared" ref="E89:E91" si="49">+F89+G89</f>
        <v>10</v>
      </c>
      <c r="F89" s="182"/>
      <c r="G89" s="230">
        <v>10</v>
      </c>
      <c r="H89" s="239"/>
      <c r="I89" s="182"/>
      <c r="J89" s="230"/>
      <c r="K89" s="239">
        <f t="shared" ref="K89:K90" si="50">+L89+M89</f>
        <v>10</v>
      </c>
      <c r="L89" s="182">
        <f t="shared" ref="L89:M92" si="51">+F89+I89</f>
        <v>0</v>
      </c>
      <c r="M89" s="230">
        <f t="shared" si="51"/>
        <v>10</v>
      </c>
    </row>
    <row r="90" spans="1:13" s="96" customFormat="1" x14ac:dyDescent="0.2">
      <c r="A90" s="181">
        <v>4</v>
      </c>
      <c r="B90" s="181">
        <v>43</v>
      </c>
      <c r="C90" s="181">
        <v>4359</v>
      </c>
      <c r="D90" s="215" t="s">
        <v>270</v>
      </c>
      <c r="E90" s="239">
        <f t="shared" si="49"/>
        <v>511</v>
      </c>
      <c r="F90" s="182"/>
      <c r="G90" s="230">
        <v>511</v>
      </c>
      <c r="H90" s="239"/>
      <c r="I90" s="182"/>
      <c r="J90" s="230"/>
      <c r="K90" s="239">
        <f t="shared" si="50"/>
        <v>511</v>
      </c>
      <c r="L90" s="182">
        <f t="shared" si="51"/>
        <v>0</v>
      </c>
      <c r="M90" s="230">
        <f>+G90+J90</f>
        <v>511</v>
      </c>
    </row>
    <row r="91" spans="1:13" s="96" customFormat="1" x14ac:dyDescent="0.2">
      <c r="A91" s="181">
        <v>4</v>
      </c>
      <c r="B91" s="181">
        <v>43</v>
      </c>
      <c r="C91" s="181">
        <v>4374</v>
      </c>
      <c r="D91" s="215" t="s">
        <v>271</v>
      </c>
      <c r="E91" s="229">
        <f t="shared" si="49"/>
        <v>663</v>
      </c>
      <c r="F91" s="182">
        <v>663</v>
      </c>
      <c r="G91" s="230"/>
      <c r="H91" s="239"/>
      <c r="I91" s="182"/>
      <c r="J91" s="230"/>
      <c r="K91" s="239"/>
      <c r="L91" s="182"/>
      <c r="M91" s="230"/>
    </row>
    <row r="92" spans="1:13" s="96" customFormat="1" x14ac:dyDescent="0.2">
      <c r="A92" s="181">
        <v>4</v>
      </c>
      <c r="B92" s="181">
        <v>43</v>
      </c>
      <c r="C92" s="181">
        <v>4379</v>
      </c>
      <c r="D92" s="215" t="s">
        <v>353</v>
      </c>
      <c r="E92" s="239">
        <f>+F92+G92</f>
        <v>300</v>
      </c>
      <c r="F92" s="182"/>
      <c r="G92" s="230">
        <v>300</v>
      </c>
      <c r="H92" s="239"/>
      <c r="I92" s="182"/>
      <c r="J92" s="230"/>
      <c r="K92" s="239">
        <f>+L92+M92</f>
        <v>300</v>
      </c>
      <c r="L92" s="182">
        <f t="shared" si="51"/>
        <v>0</v>
      </c>
      <c r="M92" s="230">
        <f>+G92+J92</f>
        <v>300</v>
      </c>
    </row>
    <row r="93" spans="1:13" s="96" customFormat="1" x14ac:dyDescent="0.2">
      <c r="A93" s="197" t="s">
        <v>410</v>
      </c>
      <c r="B93" s="183"/>
      <c r="C93" s="183"/>
      <c r="D93" s="217"/>
      <c r="E93" s="240">
        <f t="shared" ref="E93:M93" si="52">SUM(E88:E92)</f>
        <v>1634</v>
      </c>
      <c r="F93" s="184">
        <f t="shared" si="52"/>
        <v>813</v>
      </c>
      <c r="G93" s="236">
        <f t="shared" si="52"/>
        <v>821</v>
      </c>
      <c r="H93" s="240">
        <f t="shared" si="52"/>
        <v>0</v>
      </c>
      <c r="I93" s="184">
        <f t="shared" si="52"/>
        <v>0</v>
      </c>
      <c r="J93" s="236">
        <f t="shared" si="52"/>
        <v>0</v>
      </c>
      <c r="K93" s="240">
        <f t="shared" si="52"/>
        <v>971</v>
      </c>
      <c r="L93" s="184">
        <f t="shared" si="52"/>
        <v>150</v>
      </c>
      <c r="M93" s="236">
        <f t="shared" si="52"/>
        <v>821</v>
      </c>
    </row>
    <row r="94" spans="1:13" s="96" customFormat="1" ht="13.5" thickBot="1" x14ac:dyDescent="0.25">
      <c r="A94" s="206"/>
      <c r="B94" s="97"/>
      <c r="C94" s="97"/>
      <c r="D94" s="218"/>
      <c r="E94" s="244"/>
      <c r="F94" s="209"/>
      <c r="G94" s="238"/>
      <c r="H94" s="244"/>
      <c r="I94" s="209"/>
      <c r="J94" s="238"/>
      <c r="K94" s="244"/>
      <c r="L94" s="209"/>
      <c r="M94" s="238" t="s">
        <v>187</v>
      </c>
    </row>
    <row r="95" spans="1:13" s="96" customFormat="1" ht="14.25" thickTop="1" thickBot="1" x14ac:dyDescent="0.25">
      <c r="A95" s="205" t="s">
        <v>188</v>
      </c>
      <c r="B95" s="187"/>
      <c r="C95" s="187"/>
      <c r="D95" s="219"/>
      <c r="E95" s="231">
        <f>+E93</f>
        <v>1634</v>
      </c>
      <c r="F95" s="189">
        <f>+F93</f>
        <v>813</v>
      </c>
      <c r="G95" s="232">
        <f>+G93</f>
        <v>821</v>
      </c>
      <c r="H95" s="231">
        <f>+I95+J95</f>
        <v>0</v>
      </c>
      <c r="I95" s="189">
        <f>I93</f>
        <v>0</v>
      </c>
      <c r="J95" s="232">
        <f>+J93</f>
        <v>0</v>
      </c>
      <c r="K95" s="231">
        <f>+K93</f>
        <v>971</v>
      </c>
      <c r="L95" s="189">
        <f>+L93</f>
        <v>150</v>
      </c>
      <c r="M95" s="232">
        <f>+M93</f>
        <v>821</v>
      </c>
    </row>
    <row r="96" spans="1:13" s="96" customFormat="1" ht="13.5" thickTop="1" x14ac:dyDescent="0.2">
      <c r="A96" s="220"/>
      <c r="B96" s="105"/>
      <c r="C96" s="105"/>
      <c r="D96" s="221"/>
      <c r="E96" s="229"/>
      <c r="F96" s="182"/>
      <c r="G96" s="230"/>
      <c r="H96" s="229"/>
      <c r="I96" s="182"/>
      <c r="J96" s="230"/>
      <c r="K96" s="229"/>
      <c r="L96" s="182"/>
      <c r="M96" s="230"/>
    </row>
    <row r="97" spans="1:13" s="96" customFormat="1" x14ac:dyDescent="0.2">
      <c r="A97" s="181">
        <v>5</v>
      </c>
      <c r="B97" s="181">
        <v>53</v>
      </c>
      <c r="C97" s="181">
        <v>5311</v>
      </c>
      <c r="D97" s="215" t="s">
        <v>189</v>
      </c>
      <c r="E97" s="239">
        <f>+F97+G97</f>
        <v>23441</v>
      </c>
      <c r="F97" s="182">
        <v>23281</v>
      </c>
      <c r="G97" s="230">
        <v>160</v>
      </c>
      <c r="H97" s="239">
        <f>+I97+J97</f>
        <v>100</v>
      </c>
      <c r="I97" s="182">
        <v>100</v>
      </c>
      <c r="J97" s="230"/>
      <c r="K97" s="239">
        <f>+L97+M97</f>
        <v>23541</v>
      </c>
      <c r="L97" s="182">
        <f>+F97+I97</f>
        <v>23381</v>
      </c>
      <c r="M97" s="230">
        <f>+G97+J97</f>
        <v>160</v>
      </c>
    </row>
    <row r="98" spans="1:13" s="96" customFormat="1" x14ac:dyDescent="0.2">
      <c r="A98" s="197" t="s">
        <v>190</v>
      </c>
      <c r="B98" s="183"/>
      <c r="C98" s="183"/>
      <c r="D98" s="217"/>
      <c r="E98" s="240">
        <f>SUM(E97)</f>
        <v>23441</v>
      </c>
      <c r="F98" s="184">
        <f>+F97</f>
        <v>23281</v>
      </c>
      <c r="G98" s="236">
        <f>+G97</f>
        <v>160</v>
      </c>
      <c r="H98" s="240">
        <f>+I98+J98</f>
        <v>100</v>
      </c>
      <c r="I98" s="184">
        <f>SUM(I97)</f>
        <v>100</v>
      </c>
      <c r="J98" s="236"/>
      <c r="K98" s="240">
        <f>SUM(K97)</f>
        <v>23541</v>
      </c>
      <c r="L98" s="184">
        <f>SUM(L97)</f>
        <v>23381</v>
      </c>
      <c r="M98" s="236">
        <f>SUM(M97)</f>
        <v>160</v>
      </c>
    </row>
    <row r="99" spans="1:13" s="96" customFormat="1" x14ac:dyDescent="0.2">
      <c r="A99" s="199"/>
      <c r="B99" s="181"/>
      <c r="C99" s="181"/>
      <c r="D99" s="215"/>
      <c r="E99" s="245"/>
      <c r="F99" s="185"/>
      <c r="G99" s="234"/>
      <c r="H99" s="245"/>
      <c r="I99" s="185"/>
      <c r="J99" s="234"/>
      <c r="K99" s="245"/>
      <c r="L99" s="185"/>
      <c r="M99" s="234"/>
    </row>
    <row r="100" spans="1:13" s="96" customFormat="1" x14ac:dyDescent="0.2">
      <c r="A100" s="181">
        <v>5</v>
      </c>
      <c r="B100" s="181">
        <v>55</v>
      </c>
      <c r="C100" s="181">
        <v>5512</v>
      </c>
      <c r="D100" s="215" t="s">
        <v>191</v>
      </c>
      <c r="E100" s="239">
        <f>+F100+G100</f>
        <v>176</v>
      </c>
      <c r="F100" s="182"/>
      <c r="G100" s="230">
        <v>176</v>
      </c>
      <c r="H100" s="239"/>
      <c r="I100" s="182"/>
      <c r="J100" s="230"/>
      <c r="K100" s="239">
        <f>+L100+M100</f>
        <v>176</v>
      </c>
      <c r="L100" s="182">
        <f t="shared" ref="L100" si="53">+F100+I100</f>
        <v>0</v>
      </c>
      <c r="M100" s="230">
        <f>+G100+J100</f>
        <v>176</v>
      </c>
    </row>
    <row r="101" spans="1:13" s="96" customFormat="1" x14ac:dyDescent="0.2">
      <c r="A101" s="197" t="s">
        <v>282</v>
      </c>
      <c r="B101" s="183"/>
      <c r="C101" s="183"/>
      <c r="D101" s="217"/>
      <c r="E101" s="240">
        <f>SUM(E100)</f>
        <v>176</v>
      </c>
      <c r="F101" s="184">
        <f>+F100</f>
        <v>0</v>
      </c>
      <c r="G101" s="236">
        <f>G100</f>
        <v>176</v>
      </c>
      <c r="H101" s="240"/>
      <c r="I101" s="184"/>
      <c r="J101" s="236"/>
      <c r="K101" s="240">
        <f>SUM(K100)</f>
        <v>176</v>
      </c>
      <c r="L101" s="184">
        <f>SUM(L100)</f>
        <v>0</v>
      </c>
      <c r="M101" s="241">
        <f>SUM(M100)</f>
        <v>176</v>
      </c>
    </row>
    <row r="102" spans="1:13" s="96" customFormat="1" ht="13.5" thickBot="1" x14ac:dyDescent="0.25">
      <c r="A102" s="100"/>
      <c r="B102" s="99"/>
      <c r="C102" s="99"/>
      <c r="D102" s="225"/>
      <c r="E102" s="242"/>
      <c r="F102" s="210"/>
      <c r="G102" s="243"/>
      <c r="H102" s="242"/>
      <c r="I102" s="210"/>
      <c r="J102" s="243"/>
      <c r="K102" s="242"/>
      <c r="L102" s="210"/>
      <c r="M102" s="243"/>
    </row>
    <row r="103" spans="1:13" s="96" customFormat="1" ht="14.25" thickTop="1" thickBot="1" x14ac:dyDescent="0.25">
      <c r="A103" s="205" t="s">
        <v>192</v>
      </c>
      <c r="B103" s="187"/>
      <c r="C103" s="187"/>
      <c r="D103" s="219"/>
      <c r="E103" s="231">
        <f>+E98+E101</f>
        <v>23617</v>
      </c>
      <c r="F103" s="189">
        <f>+F98+F101</f>
        <v>23281</v>
      </c>
      <c r="G103" s="232">
        <f>+G98+G101</f>
        <v>336</v>
      </c>
      <c r="H103" s="231">
        <f>+I103+J103</f>
        <v>100</v>
      </c>
      <c r="I103" s="189">
        <f>I98+I101</f>
        <v>100</v>
      </c>
      <c r="J103" s="232">
        <f>J98+J101</f>
        <v>0</v>
      </c>
      <c r="K103" s="231">
        <f>+K98+K101</f>
        <v>23717</v>
      </c>
      <c r="L103" s="189">
        <f>+L98+L101</f>
        <v>23381</v>
      </c>
      <c r="M103" s="232">
        <f>+M98+M101</f>
        <v>336</v>
      </c>
    </row>
    <row r="104" spans="1:13" s="96" customFormat="1" ht="13.5" thickTop="1" x14ac:dyDescent="0.2">
      <c r="A104" s="220"/>
      <c r="B104" s="105"/>
      <c r="C104" s="105"/>
      <c r="D104" s="221"/>
      <c r="E104" s="229"/>
      <c r="F104" s="182"/>
      <c r="G104" s="230"/>
      <c r="H104" s="229"/>
      <c r="I104" s="182"/>
      <c r="J104" s="230"/>
      <c r="K104" s="229"/>
      <c r="L104" s="182"/>
      <c r="M104" s="230"/>
    </row>
    <row r="105" spans="1:13" s="96" customFormat="1" x14ac:dyDescent="0.2">
      <c r="A105" s="181">
        <v>6</v>
      </c>
      <c r="B105" s="181">
        <v>61</v>
      </c>
      <c r="C105" s="181">
        <v>6171</v>
      </c>
      <c r="D105" s="215" t="s">
        <v>193</v>
      </c>
      <c r="E105" s="239">
        <f>+F105+G105</f>
        <v>42987</v>
      </c>
      <c r="F105" s="182">
        <v>12143</v>
      </c>
      <c r="G105" s="230">
        <v>30844</v>
      </c>
      <c r="H105" s="239">
        <f>+I105+J105</f>
        <v>50</v>
      </c>
      <c r="I105" s="182"/>
      <c r="J105" s="230">
        <v>50</v>
      </c>
      <c r="K105" s="239">
        <f>+L105+M105</f>
        <v>43037</v>
      </c>
      <c r="L105" s="182">
        <f>+F105+I105</f>
        <v>12143</v>
      </c>
      <c r="M105" s="230">
        <f>+G105+J105</f>
        <v>30894</v>
      </c>
    </row>
    <row r="106" spans="1:13" s="96" customFormat="1" x14ac:dyDescent="0.2">
      <c r="A106" s="197" t="s">
        <v>411</v>
      </c>
      <c r="B106" s="183"/>
      <c r="C106" s="183"/>
      <c r="D106" s="217"/>
      <c r="E106" s="240">
        <f>SUM(E105)</f>
        <v>42987</v>
      </c>
      <c r="F106" s="184">
        <f>+F105</f>
        <v>12143</v>
      </c>
      <c r="G106" s="236">
        <f>+G105</f>
        <v>30844</v>
      </c>
      <c r="H106" s="240">
        <f>+I106+J106</f>
        <v>50</v>
      </c>
      <c r="I106" s="184">
        <f>+I105</f>
        <v>0</v>
      </c>
      <c r="J106" s="236">
        <f>+J105</f>
        <v>50</v>
      </c>
      <c r="K106" s="240">
        <f>SUM(K105)</f>
        <v>43037</v>
      </c>
      <c r="L106" s="184">
        <f>SUM(L105)</f>
        <v>12143</v>
      </c>
      <c r="M106" s="236">
        <f>+M105</f>
        <v>30894</v>
      </c>
    </row>
    <row r="107" spans="1:13" s="96" customFormat="1" x14ac:dyDescent="0.2">
      <c r="A107" s="199"/>
      <c r="B107" s="181"/>
      <c r="C107" s="181"/>
      <c r="D107" s="215"/>
      <c r="E107" s="239"/>
      <c r="F107" s="182"/>
      <c r="G107" s="230"/>
      <c r="H107" s="245"/>
      <c r="I107" s="182"/>
      <c r="J107" s="230"/>
      <c r="K107" s="239"/>
      <c r="L107" s="182"/>
      <c r="M107" s="230"/>
    </row>
    <row r="108" spans="1:13" s="96" customFormat="1" x14ac:dyDescent="0.2">
      <c r="A108" s="181">
        <v>6</v>
      </c>
      <c r="B108" s="181">
        <v>62</v>
      </c>
      <c r="C108" s="181">
        <v>6211</v>
      </c>
      <c r="D108" s="215" t="s">
        <v>194</v>
      </c>
      <c r="E108" s="239">
        <f>+F108+G108</f>
        <v>30</v>
      </c>
      <c r="F108" s="182">
        <v>30</v>
      </c>
      <c r="G108" s="230"/>
      <c r="H108" s="239"/>
      <c r="I108" s="182"/>
      <c r="J108" s="230"/>
      <c r="K108" s="239">
        <f>+L108+M108</f>
        <v>30</v>
      </c>
      <c r="L108" s="182">
        <f>+F108+I108</f>
        <v>30</v>
      </c>
      <c r="M108" s="230">
        <f t="shared" ref="M108" si="54">+G108+J108</f>
        <v>0</v>
      </c>
    </row>
    <row r="109" spans="1:13" s="96" customFormat="1" x14ac:dyDescent="0.2">
      <c r="A109" s="197" t="s">
        <v>195</v>
      </c>
      <c r="B109" s="183"/>
      <c r="C109" s="183"/>
      <c r="D109" s="217"/>
      <c r="E109" s="240">
        <f>SUM(E108)</f>
        <v>30</v>
      </c>
      <c r="F109" s="184">
        <f>+F108</f>
        <v>30</v>
      </c>
      <c r="G109" s="236"/>
      <c r="H109" s="240"/>
      <c r="I109" s="184"/>
      <c r="J109" s="236"/>
      <c r="K109" s="240">
        <f>SUM(K108)</f>
        <v>30</v>
      </c>
      <c r="L109" s="184">
        <f>SUM(L108)</f>
        <v>30</v>
      </c>
      <c r="M109" s="236"/>
    </row>
    <row r="110" spans="1:13" s="96" customFormat="1" x14ac:dyDescent="0.2">
      <c r="A110" s="199"/>
      <c r="B110" s="181"/>
      <c r="C110" s="181"/>
      <c r="D110" s="215"/>
      <c r="E110" s="239"/>
      <c r="F110" s="182"/>
      <c r="G110" s="230"/>
      <c r="H110" s="239"/>
      <c r="I110" s="182"/>
      <c r="J110" s="230"/>
      <c r="K110" s="239"/>
      <c r="L110" s="182"/>
      <c r="M110" s="230"/>
    </row>
    <row r="111" spans="1:13" s="96" customFormat="1" x14ac:dyDescent="0.2">
      <c r="A111" s="181">
        <v>6</v>
      </c>
      <c r="B111" s="181">
        <v>63</v>
      </c>
      <c r="C111" s="181">
        <v>6310</v>
      </c>
      <c r="D111" s="215" t="s">
        <v>196</v>
      </c>
      <c r="E111" s="239">
        <f>+F111+G111</f>
        <v>71583</v>
      </c>
      <c r="F111" s="182">
        <v>54030</v>
      </c>
      <c r="G111" s="230">
        <v>17553</v>
      </c>
      <c r="H111" s="239">
        <f>+I111+J111</f>
        <v>0</v>
      </c>
      <c r="I111" s="182"/>
      <c r="J111" s="230"/>
      <c r="K111" s="239">
        <f>+L111+M111</f>
        <v>71583</v>
      </c>
      <c r="L111" s="182">
        <f>+F111+I111</f>
        <v>54030</v>
      </c>
      <c r="M111" s="230">
        <f>+G111+J111</f>
        <v>17553</v>
      </c>
    </row>
    <row r="112" spans="1:13" s="96" customFormat="1" x14ac:dyDescent="0.2">
      <c r="A112" s="197" t="s">
        <v>197</v>
      </c>
      <c r="B112" s="183"/>
      <c r="C112" s="183"/>
      <c r="D112" s="217"/>
      <c r="E112" s="240">
        <f>SUM(E111:E111)</f>
        <v>71583</v>
      </c>
      <c r="F112" s="184">
        <f>SUM(F111:F111)</f>
        <v>54030</v>
      </c>
      <c r="G112" s="236">
        <f>SUM(G111:G111)</f>
        <v>17553</v>
      </c>
      <c r="H112" s="240">
        <f>SUM(H111:H111)</f>
        <v>0</v>
      </c>
      <c r="I112" s="184">
        <f t="shared" ref="I112:J112" si="55">SUM(I111:I111)</f>
        <v>0</v>
      </c>
      <c r="J112" s="236">
        <f t="shared" si="55"/>
        <v>0</v>
      </c>
      <c r="K112" s="240">
        <f>SUM(K111:K111)</f>
        <v>71583</v>
      </c>
      <c r="L112" s="184">
        <f>SUM(L111:L111)</f>
        <v>54030</v>
      </c>
      <c r="M112" s="236">
        <f>SUM(M111:M111)</f>
        <v>17553</v>
      </c>
    </row>
    <row r="113" spans="1:13" s="96" customFormat="1" ht="13.5" thickBot="1" x14ac:dyDescent="0.25">
      <c r="A113" s="206"/>
      <c r="B113" s="97"/>
      <c r="C113" s="97"/>
      <c r="D113" s="218"/>
      <c r="E113" s="244"/>
      <c r="F113" s="209"/>
      <c r="G113" s="238"/>
      <c r="H113" s="244"/>
      <c r="I113" s="209"/>
      <c r="J113" s="238"/>
      <c r="K113" s="244"/>
      <c r="L113" s="209"/>
      <c r="M113" s="238"/>
    </row>
    <row r="114" spans="1:13" s="96" customFormat="1" ht="14.25" thickTop="1" thickBot="1" x14ac:dyDescent="0.25">
      <c r="A114" s="205" t="s">
        <v>198</v>
      </c>
      <c r="B114" s="187"/>
      <c r="C114" s="187"/>
      <c r="D114" s="219"/>
      <c r="E114" s="231">
        <f>E106+E109+E112</f>
        <v>114600</v>
      </c>
      <c r="F114" s="189">
        <f>F106+F109+F112</f>
        <v>66203</v>
      </c>
      <c r="G114" s="232">
        <f>G106+G109+G112</f>
        <v>48397</v>
      </c>
      <c r="H114" s="231">
        <f t="shared" ref="H114:J114" si="56">H106+H109+H112</f>
        <v>50</v>
      </c>
      <c r="I114" s="189">
        <f t="shared" si="56"/>
        <v>0</v>
      </c>
      <c r="J114" s="232">
        <f t="shared" si="56"/>
        <v>50</v>
      </c>
      <c r="K114" s="231">
        <f>+K106+K109+K112</f>
        <v>114650</v>
      </c>
      <c r="L114" s="189">
        <f>+L106+L109+L112</f>
        <v>66203</v>
      </c>
      <c r="M114" s="232">
        <f>+M106+M109+M112</f>
        <v>48447</v>
      </c>
    </row>
    <row r="115" spans="1:13" s="96" customFormat="1" ht="14.25" thickTop="1" thickBot="1" x14ac:dyDescent="0.25">
      <c r="A115" s="100"/>
      <c r="B115" s="99"/>
      <c r="C115" s="99"/>
      <c r="D115" s="225"/>
      <c r="E115" s="237"/>
      <c r="F115" s="209"/>
      <c r="G115" s="238"/>
      <c r="H115" s="237"/>
      <c r="I115" s="209"/>
      <c r="J115" s="238"/>
      <c r="K115" s="246"/>
      <c r="L115" s="247"/>
      <c r="M115" s="248"/>
    </row>
    <row r="116" spans="1:13" s="96" customFormat="1" ht="17.25" customHeight="1" thickTop="1" thickBot="1" x14ac:dyDescent="0.3">
      <c r="A116" s="258" t="s">
        <v>297</v>
      </c>
      <c r="B116" s="252"/>
      <c r="C116" s="252"/>
      <c r="D116" s="253"/>
      <c r="E116" s="254">
        <f>+E114+E103+E95+E86+E42+E19+E9</f>
        <v>817293</v>
      </c>
      <c r="F116" s="255">
        <f>+F114+F103+F95+F86+F42+F19+F9</f>
        <v>647925</v>
      </c>
      <c r="G116" s="256">
        <f>+G9+G19+G42+G86+G95+G103+G114</f>
        <v>169368</v>
      </c>
      <c r="H116" s="254">
        <f>+H114+H103+H95+H86+H42</f>
        <v>350655</v>
      </c>
      <c r="I116" s="255">
        <f>I9+I19+I42+I86+I95+I103+I114</f>
        <v>350600</v>
      </c>
      <c r="J116" s="256">
        <f>J9+J19+J42+J86+J95+J103+J114</f>
        <v>55</v>
      </c>
      <c r="K116" s="249">
        <f>+K9+K19+K42+K86+K95+K103+K114</f>
        <v>1161447</v>
      </c>
      <c r="L116" s="250">
        <f>+L9+L19+L42+L86+L95+L103+L114</f>
        <v>992258</v>
      </c>
      <c r="M116" s="251">
        <f>+M9+M19+M42+M86+M95+M103+M114</f>
        <v>169189</v>
      </c>
    </row>
    <row r="117" spans="1:13" s="96" customFormat="1" ht="13.5" thickTop="1" x14ac:dyDescent="0.2">
      <c r="A117" s="93"/>
      <c r="B117" s="93"/>
      <c r="C117" s="93"/>
      <c r="D117" s="93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8" fitToHeight="2" orientation="portrait" r:id="rId1"/>
  <headerFooter alignWithMargins="0">
    <oddHeader xml:space="preserve">&amp;R </oddHeader>
  </headerFooter>
  <rowBreaks count="1" manualBreakCount="1">
    <brk id="69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6" zoomScaleNormal="100" workbookViewId="0">
      <selection activeCell="R49" sqref="R49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36"/>
  <sheetViews>
    <sheetView showZeros="0" zoomScaleNormal="100" zoomScaleSheetLayoutView="75" workbookViewId="0">
      <selection activeCell="B23" sqref="B23"/>
    </sheetView>
  </sheetViews>
  <sheetFormatPr defaultRowHeight="12.75" x14ac:dyDescent="0.2"/>
  <cols>
    <col min="1" max="1" width="6.5703125" style="259" customWidth="1"/>
    <col min="2" max="2" width="48.5703125" style="259" customWidth="1"/>
    <col min="3" max="3" width="12.28515625" style="259" customWidth="1"/>
    <col min="4" max="4" width="9.5703125" style="259" customWidth="1"/>
    <col min="5" max="5" width="10.140625" style="259" customWidth="1"/>
    <col min="6" max="6" width="11.28515625" style="259" customWidth="1"/>
    <col min="7" max="7" width="8.85546875" style="259" bestFit="1" customWidth="1"/>
    <col min="8" max="8" width="10.140625" style="259" customWidth="1"/>
    <col min="9" max="9" width="12.7109375" style="259" customWidth="1"/>
    <col min="10" max="10" width="9.85546875" style="259" bestFit="1" customWidth="1"/>
    <col min="11" max="11" width="10.28515625" style="259" customWidth="1"/>
    <col min="12" max="12" width="9" style="259" bestFit="1" customWidth="1"/>
    <col min="13" max="13" width="6.42578125" style="259" bestFit="1" customWidth="1"/>
    <col min="14" max="16384" width="9.140625" style="259"/>
  </cols>
  <sheetData>
    <row r="3" spans="1:13" ht="18.75" x14ac:dyDescent="0.3">
      <c r="A3" s="406" t="s">
        <v>445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260"/>
    </row>
    <row r="4" spans="1:13" x14ac:dyDescent="0.2">
      <c r="A4" s="261"/>
      <c r="B4" s="260"/>
      <c r="C4" s="260"/>
    </row>
    <row r="5" spans="1:13" ht="13.5" thickBot="1" x14ac:dyDescent="0.25"/>
    <row r="6" spans="1:13" x14ac:dyDescent="0.2">
      <c r="A6" s="425" t="s">
        <v>89</v>
      </c>
      <c r="B6" s="427" t="s">
        <v>90</v>
      </c>
      <c r="C6" s="428" t="s">
        <v>199</v>
      </c>
      <c r="D6" s="429"/>
      <c r="E6" s="430"/>
      <c r="F6" s="428" t="s">
        <v>200</v>
      </c>
      <c r="G6" s="429"/>
      <c r="H6" s="430"/>
      <c r="I6" s="428" t="s">
        <v>201</v>
      </c>
      <c r="J6" s="429"/>
      <c r="K6" s="430"/>
      <c r="L6" s="374" t="s">
        <v>202</v>
      </c>
    </row>
    <row r="7" spans="1:13" ht="26.25" thickBot="1" x14ac:dyDescent="0.25">
      <c r="A7" s="426"/>
      <c r="B7" s="414"/>
      <c r="C7" s="262" t="s">
        <v>81</v>
      </c>
      <c r="D7" s="263" t="s">
        <v>6</v>
      </c>
      <c r="E7" s="280" t="s">
        <v>7</v>
      </c>
      <c r="F7" s="262" t="s">
        <v>81</v>
      </c>
      <c r="G7" s="263" t="s">
        <v>6</v>
      </c>
      <c r="H7" s="280" t="s">
        <v>7</v>
      </c>
      <c r="I7" s="262" t="s">
        <v>81</v>
      </c>
      <c r="J7" s="263" t="s">
        <v>6</v>
      </c>
      <c r="K7" s="281" t="s">
        <v>7</v>
      </c>
      <c r="L7" s="374" t="s">
        <v>203</v>
      </c>
    </row>
    <row r="8" spans="1:13" x14ac:dyDescent="0.2">
      <c r="A8" s="264"/>
      <c r="B8" s="265"/>
      <c r="C8" s="266"/>
      <c r="D8" s="267"/>
      <c r="E8" s="267"/>
      <c r="F8" s="266"/>
      <c r="G8" s="267"/>
      <c r="H8" s="267"/>
      <c r="I8" s="266"/>
      <c r="J8" s="267"/>
      <c r="K8" s="268"/>
      <c r="L8" s="269"/>
    </row>
    <row r="9" spans="1:13" x14ac:dyDescent="0.2">
      <c r="A9" s="270" t="s">
        <v>94</v>
      </c>
      <c r="B9" s="135" t="s">
        <v>402</v>
      </c>
      <c r="C9" s="272">
        <f>+'B a K'!E13</f>
        <v>16565</v>
      </c>
      <c r="D9" s="273">
        <f>+'B a K'!F13</f>
        <v>15972</v>
      </c>
      <c r="E9" s="273">
        <f>+'B a K'!G13</f>
        <v>593</v>
      </c>
      <c r="F9" s="272">
        <f>+'B a K'!H13</f>
        <v>12500</v>
      </c>
      <c r="G9" s="273">
        <f>+'B a K'!I13</f>
        <v>12500</v>
      </c>
      <c r="H9" s="273">
        <f>+'B a K'!J13</f>
        <v>0</v>
      </c>
      <c r="I9" s="272">
        <f>+'B a K'!K13</f>
        <v>29065</v>
      </c>
      <c r="J9" s="273">
        <f>+'B a K'!L13</f>
        <v>28472</v>
      </c>
      <c r="K9" s="274">
        <f>+'B a K'!M13</f>
        <v>593</v>
      </c>
      <c r="L9" s="275">
        <f>I9*1000/$L$32</f>
        <v>76.594477502595751</v>
      </c>
      <c r="M9" s="276">
        <v>77</v>
      </c>
    </row>
    <row r="10" spans="1:13" x14ac:dyDescent="0.2">
      <c r="A10" s="270" t="s">
        <v>96</v>
      </c>
      <c r="B10" s="271" t="s">
        <v>97</v>
      </c>
      <c r="C10" s="272">
        <f>+'B a K'!E22</f>
        <v>87562</v>
      </c>
      <c r="D10" s="273">
        <f>+'B a K'!F22</f>
        <v>79967</v>
      </c>
      <c r="E10" s="273">
        <f>+'B a K'!G22</f>
        <v>7595</v>
      </c>
      <c r="F10" s="272">
        <f>+'B a K'!H22</f>
        <v>21108</v>
      </c>
      <c r="G10" s="273">
        <f>+'B a K'!I22</f>
        <v>21108</v>
      </c>
      <c r="H10" s="273">
        <f>+'B a K'!J22</f>
        <v>0</v>
      </c>
      <c r="I10" s="272">
        <f>+'B a K'!K22</f>
        <v>108670</v>
      </c>
      <c r="J10" s="273">
        <f>+'B a K'!L22</f>
        <v>101075</v>
      </c>
      <c r="K10" s="274">
        <f>+'B a K'!M22</f>
        <v>7595</v>
      </c>
      <c r="L10" s="275">
        <f t="shared" ref="L10:L13" si="0">I10*1000/$L$32</f>
        <v>286.37611801847862</v>
      </c>
      <c r="M10" s="276">
        <v>286</v>
      </c>
    </row>
    <row r="11" spans="1:13" x14ac:dyDescent="0.2">
      <c r="A11" s="270" t="s">
        <v>98</v>
      </c>
      <c r="B11" s="271" t="s">
        <v>99</v>
      </c>
      <c r="C11" s="272">
        <f>+'B a K'!E35</f>
        <v>3871646</v>
      </c>
      <c r="D11" s="273">
        <f>+'B a K'!F35</f>
        <v>3597041</v>
      </c>
      <c r="E11" s="273">
        <f>+'B a K'!G35</f>
        <v>274605</v>
      </c>
      <c r="F11" s="272">
        <f>+'B a K'!H35</f>
        <v>1534637</v>
      </c>
      <c r="G11" s="273">
        <f>+'B a K'!I35</f>
        <v>1483041</v>
      </c>
      <c r="H11" s="273">
        <f>+'B a K'!J35</f>
        <v>51596</v>
      </c>
      <c r="I11" s="272">
        <f>+'B a K'!K35</f>
        <v>5406283</v>
      </c>
      <c r="J11" s="273">
        <f>+'B a K'!L35</f>
        <v>5080082</v>
      </c>
      <c r="K11" s="274">
        <f>+'B a K'!M35</f>
        <v>326201</v>
      </c>
      <c r="L11" s="275">
        <f t="shared" si="0"/>
        <v>14247.081424949798</v>
      </c>
      <c r="M11" s="276">
        <v>14247</v>
      </c>
    </row>
    <row r="12" spans="1:13" x14ac:dyDescent="0.2">
      <c r="A12" s="270" t="s">
        <v>100</v>
      </c>
      <c r="B12" s="271" t="s">
        <v>101</v>
      </c>
      <c r="C12" s="272">
        <f>+'B a K'!E43</f>
        <v>11405</v>
      </c>
      <c r="D12" s="273">
        <f>+'B a K'!F43</f>
        <v>9583</v>
      </c>
      <c r="E12" s="273">
        <f>+'B a K'!G43</f>
        <v>1822</v>
      </c>
      <c r="F12" s="272">
        <f>+'B a K'!H43</f>
        <v>964362</v>
      </c>
      <c r="G12" s="273">
        <f>+'B a K'!I43</f>
        <v>959498</v>
      </c>
      <c r="H12" s="273">
        <f>+'B a K'!J43</f>
        <v>4864</v>
      </c>
      <c r="I12" s="272">
        <f>+'B a K'!K43</f>
        <v>975767</v>
      </c>
      <c r="J12" s="273">
        <f>+'B a K'!L43</f>
        <v>969081</v>
      </c>
      <c r="K12" s="274">
        <f>+'B a K'!M43</f>
        <v>6686</v>
      </c>
      <c r="L12" s="275">
        <f t="shared" si="0"/>
        <v>2571.4214185197093</v>
      </c>
      <c r="M12" s="276">
        <v>2572</v>
      </c>
    </row>
    <row r="13" spans="1:13" x14ac:dyDescent="0.2">
      <c r="A13" s="277">
        <v>24</v>
      </c>
      <c r="B13" s="271" t="s">
        <v>318</v>
      </c>
      <c r="C13" s="272">
        <f>'B a K'!E46</f>
        <v>14</v>
      </c>
      <c r="D13" s="273">
        <f>'B a K'!F46</f>
        <v>0</v>
      </c>
      <c r="E13" s="273">
        <f>'B a K'!G46</f>
        <v>14</v>
      </c>
      <c r="F13" s="272"/>
      <c r="G13" s="273"/>
      <c r="H13" s="273"/>
      <c r="I13" s="272">
        <f>'B a K'!K46</f>
        <v>14</v>
      </c>
      <c r="J13" s="273">
        <f>'B a K'!L46</f>
        <v>0</v>
      </c>
      <c r="K13" s="274">
        <f>'B a K'!M46</f>
        <v>14</v>
      </c>
      <c r="L13" s="275">
        <f t="shared" si="0"/>
        <v>3.6893950973209723E-2</v>
      </c>
      <c r="M13" s="276"/>
    </row>
    <row r="14" spans="1:13" x14ac:dyDescent="0.2">
      <c r="A14" s="270" t="s">
        <v>102</v>
      </c>
      <c r="B14" s="271" t="s">
        <v>103</v>
      </c>
      <c r="C14" s="272">
        <f>+'B a K'!E60+'B a K'!E65</f>
        <v>657097</v>
      </c>
      <c r="D14" s="273">
        <f>+'B a K'!F60+'B a K'!F65</f>
        <v>58159</v>
      </c>
      <c r="E14" s="273">
        <f>+'B a K'!G60+'B a K'!G65</f>
        <v>598938</v>
      </c>
      <c r="F14" s="272">
        <f>+'B a K'!H60+'B a K'!H65</f>
        <v>424477</v>
      </c>
      <c r="G14" s="273">
        <f>+'B a K'!I60+'B a K'!I65</f>
        <v>104788</v>
      </c>
      <c r="H14" s="273">
        <f>+'B a K'!J60+'B a K'!J65</f>
        <v>319689</v>
      </c>
      <c r="I14" s="272">
        <f>+'B a K'!K60+'B a K'!K65</f>
        <v>1081574</v>
      </c>
      <c r="J14" s="273">
        <f>+'B a K'!L60+'B a K'!L65</f>
        <v>162947</v>
      </c>
      <c r="K14" s="274">
        <f>+'B a K'!M60+'B a K'!M65</f>
        <v>918627</v>
      </c>
      <c r="L14" s="275">
        <f t="shared" ref="L14:L29" si="1">I14*1000/$L$32</f>
        <v>2850.2527235641664</v>
      </c>
      <c r="M14" s="276">
        <v>2850</v>
      </c>
    </row>
    <row r="15" spans="1:13" x14ac:dyDescent="0.2">
      <c r="A15" s="270" t="s">
        <v>104</v>
      </c>
      <c r="B15" s="271" t="s">
        <v>105</v>
      </c>
      <c r="C15" s="272">
        <f>+'B a K'!E83</f>
        <v>1494457</v>
      </c>
      <c r="D15" s="273">
        <f>+'B a K'!F83</f>
        <v>1389054</v>
      </c>
      <c r="E15" s="273">
        <f>+'B a K'!G83</f>
        <v>105403</v>
      </c>
      <c r="F15" s="272">
        <f>+'B a K'!H83</f>
        <v>320637</v>
      </c>
      <c r="G15" s="273">
        <f>+'B a K'!I83</f>
        <v>313768</v>
      </c>
      <c r="H15" s="273">
        <f>+'B a K'!J83</f>
        <v>6869</v>
      </c>
      <c r="I15" s="272">
        <f>+'B a K'!K83</f>
        <v>1815094</v>
      </c>
      <c r="J15" s="273">
        <f>+'B a K'!L83</f>
        <v>1702822</v>
      </c>
      <c r="K15" s="274">
        <f>+'B a K'!M83</f>
        <v>112272</v>
      </c>
      <c r="L15" s="275">
        <f t="shared" si="1"/>
        <v>4783.2849319833658</v>
      </c>
      <c r="M15" s="276">
        <v>4783</v>
      </c>
    </row>
    <row r="16" spans="1:13" x14ac:dyDescent="0.2">
      <c r="A16" s="270" t="s">
        <v>106</v>
      </c>
      <c r="B16" s="135" t="s">
        <v>403</v>
      </c>
      <c r="C16" s="272">
        <f>+'B a K'!E89</f>
        <v>644923</v>
      </c>
      <c r="D16" s="273">
        <f>+'B a K'!F89</f>
        <v>582556</v>
      </c>
      <c r="E16" s="273">
        <f>+'B a K'!G89</f>
        <v>62367</v>
      </c>
      <c r="F16" s="272">
        <f>+'B a K'!H89</f>
        <v>767518</v>
      </c>
      <c r="G16" s="273">
        <f>+'B a K'!I89</f>
        <v>713498</v>
      </c>
      <c r="H16" s="273">
        <f>+'B a K'!J89</f>
        <v>54020</v>
      </c>
      <c r="I16" s="272">
        <f>+'B a K'!K89</f>
        <v>1412441</v>
      </c>
      <c r="J16" s="273">
        <f>+'B a K'!L89</f>
        <v>1296054</v>
      </c>
      <c r="K16" s="274">
        <f>+'B a K'!M89</f>
        <v>116387</v>
      </c>
      <c r="L16" s="275">
        <f t="shared" si="1"/>
        <v>3722.1806433250936</v>
      </c>
      <c r="M16" s="276">
        <v>3722</v>
      </c>
    </row>
    <row r="17" spans="1:13" x14ac:dyDescent="0.2">
      <c r="A17" s="270" t="s">
        <v>107</v>
      </c>
      <c r="B17" s="271" t="s">
        <v>108</v>
      </c>
      <c r="C17" s="272">
        <f>+'B a K'!E101</f>
        <v>250820</v>
      </c>
      <c r="D17" s="273">
        <f>+'B a K'!F101</f>
        <v>239322</v>
      </c>
      <c r="E17" s="273">
        <f>+'B a K'!G101</f>
        <v>11498</v>
      </c>
      <c r="F17" s="272">
        <f>+'B a K'!H101</f>
        <v>114071</v>
      </c>
      <c r="G17" s="273">
        <f>+'B a K'!I101</f>
        <v>104771</v>
      </c>
      <c r="H17" s="273">
        <f>+'B a K'!J101</f>
        <v>9300</v>
      </c>
      <c r="I17" s="272">
        <f>+'B a K'!K101</f>
        <v>364891</v>
      </c>
      <c r="J17" s="273">
        <f>+'B a K'!L101</f>
        <v>344093</v>
      </c>
      <c r="K17" s="274">
        <f>+'B a K'!M101</f>
        <v>20798</v>
      </c>
      <c r="L17" s="275">
        <f t="shared" si="1"/>
        <v>961.59076175467635</v>
      </c>
      <c r="M17" s="276">
        <v>962</v>
      </c>
    </row>
    <row r="18" spans="1:13" x14ac:dyDescent="0.2">
      <c r="A18" s="270" t="s">
        <v>109</v>
      </c>
      <c r="B18" s="271" t="s">
        <v>204</v>
      </c>
      <c r="C18" s="272">
        <f>+'B a K'!E114</f>
        <v>819881</v>
      </c>
      <c r="D18" s="273">
        <f>+'B a K'!F114</f>
        <v>711674</v>
      </c>
      <c r="E18" s="273">
        <f>+'B a K'!G114</f>
        <v>108207</v>
      </c>
      <c r="F18" s="272">
        <f>+'B a K'!H114</f>
        <v>1521018</v>
      </c>
      <c r="G18" s="273">
        <f>+'B a K'!I114</f>
        <v>788169</v>
      </c>
      <c r="H18" s="273">
        <f>+'B a K'!J114</f>
        <v>732849</v>
      </c>
      <c r="I18" s="272">
        <f>+'B a K'!K114</f>
        <v>2340899</v>
      </c>
      <c r="J18" s="273">
        <f>+'B a K'!L114</f>
        <v>1499843</v>
      </c>
      <c r="K18" s="274">
        <f>+'B a K'!M114</f>
        <v>841056</v>
      </c>
      <c r="L18" s="275">
        <f t="shared" si="1"/>
        <v>6168.9294956596905</v>
      </c>
      <c r="M18" s="276">
        <v>6169</v>
      </c>
    </row>
    <row r="19" spans="1:13" x14ac:dyDescent="0.2">
      <c r="A19" s="270" t="s">
        <v>111</v>
      </c>
      <c r="B19" s="271" t="s">
        <v>112</v>
      </c>
      <c r="C19" s="272">
        <f>+'B a K'!E130</f>
        <v>796686</v>
      </c>
      <c r="D19" s="273">
        <f>+'B a K'!F130</f>
        <v>522856</v>
      </c>
      <c r="E19" s="273">
        <f>+'B a K'!G130</f>
        <v>273830</v>
      </c>
      <c r="F19" s="272">
        <f>+'B a K'!H130</f>
        <v>286366</v>
      </c>
      <c r="G19" s="273">
        <f>+'B a K'!I130</f>
        <v>215466</v>
      </c>
      <c r="H19" s="273">
        <f>+'B a K'!J130</f>
        <v>70900</v>
      </c>
      <c r="I19" s="272">
        <f>+'B a K'!K130</f>
        <v>1083052</v>
      </c>
      <c r="J19" s="273">
        <f>+'B a K'!L130</f>
        <v>738322</v>
      </c>
      <c r="K19" s="274">
        <f>+'B a K'!M130</f>
        <v>344730</v>
      </c>
      <c r="L19" s="275">
        <f t="shared" si="1"/>
        <v>2854.1476706740523</v>
      </c>
      <c r="M19" s="276">
        <v>2854</v>
      </c>
    </row>
    <row r="20" spans="1:13" x14ac:dyDescent="0.2">
      <c r="A20" s="270" t="s">
        <v>205</v>
      </c>
      <c r="B20" s="271" t="s">
        <v>206</v>
      </c>
      <c r="C20" s="272">
        <f>+'B a K'!E132</f>
        <v>42050</v>
      </c>
      <c r="D20" s="273">
        <f>+'B a K'!F132</f>
        <v>42050</v>
      </c>
      <c r="E20" s="273">
        <f>+'B a K'!G132</f>
        <v>0</v>
      </c>
      <c r="F20" s="272">
        <f>+'B a K'!H132</f>
        <v>0</v>
      </c>
      <c r="G20" s="273">
        <f>+'B a K'!I132</f>
        <v>0</v>
      </c>
      <c r="H20" s="274">
        <f>+'B a K'!J132</f>
        <v>0</v>
      </c>
      <c r="I20" s="272">
        <f>+'B a K'!K132</f>
        <v>42050</v>
      </c>
      <c r="J20" s="273">
        <f>+'B a K'!L132</f>
        <v>42050</v>
      </c>
      <c r="K20" s="274">
        <f>+'B a K'!M132</f>
        <v>0</v>
      </c>
      <c r="L20" s="275">
        <f t="shared" si="1"/>
        <v>110.81361703024777</v>
      </c>
      <c r="M20" s="276">
        <v>111</v>
      </c>
    </row>
    <row r="21" spans="1:13" x14ac:dyDescent="0.2">
      <c r="A21" s="277">
        <v>39</v>
      </c>
      <c r="B21" s="271" t="s">
        <v>455</v>
      </c>
      <c r="C21" s="272">
        <f>+'B a K'!E136</f>
        <v>54252</v>
      </c>
      <c r="D21" s="273">
        <f>+'B a K'!F136</f>
        <v>53491</v>
      </c>
      <c r="E21" s="273">
        <f>+'B a K'!G136</f>
        <v>761</v>
      </c>
      <c r="F21" s="272">
        <f>+'B a K'!H136</f>
        <v>500</v>
      </c>
      <c r="G21" s="273">
        <f>+'B a K'!I136</f>
        <v>500</v>
      </c>
      <c r="H21" s="274">
        <f>+'B a K'!J136</f>
        <v>0</v>
      </c>
      <c r="I21" s="272">
        <f>+'B a K'!K136</f>
        <v>54752</v>
      </c>
      <c r="J21" s="273">
        <f>+'B a K'!L136</f>
        <v>53991</v>
      </c>
      <c r="K21" s="274">
        <f>+'B a K'!M136</f>
        <v>761</v>
      </c>
      <c r="L21" s="275">
        <f t="shared" si="1"/>
        <v>144.28697169179847</v>
      </c>
      <c r="M21" s="276">
        <v>144</v>
      </c>
    </row>
    <row r="22" spans="1:13" x14ac:dyDescent="0.2">
      <c r="A22" s="270" t="s">
        <v>113</v>
      </c>
      <c r="B22" s="135" t="s">
        <v>404</v>
      </c>
      <c r="C22" s="272">
        <f>+'B a K'!E157</f>
        <v>831357</v>
      </c>
      <c r="D22" s="273">
        <f>+'B a K'!F157</f>
        <v>811448</v>
      </c>
      <c r="E22" s="273">
        <f>+'B a K'!G157</f>
        <v>19909</v>
      </c>
      <c r="F22" s="272">
        <f>+'B a K'!H157</f>
        <v>93770</v>
      </c>
      <c r="G22" s="273">
        <f>+'B a K'!I157</f>
        <v>93370</v>
      </c>
      <c r="H22" s="273">
        <f>+'B a K'!J157</f>
        <v>400</v>
      </c>
      <c r="I22" s="272">
        <f>+'B a K'!K157</f>
        <v>925127</v>
      </c>
      <c r="J22" s="273">
        <f>+'B a K'!L157</f>
        <v>904818</v>
      </c>
      <c r="K22" s="274">
        <f>+'B a K'!M157</f>
        <v>20309</v>
      </c>
      <c r="L22" s="275">
        <f t="shared" si="1"/>
        <v>2437.9707272851851</v>
      </c>
      <c r="M22" s="276">
        <v>2438</v>
      </c>
    </row>
    <row r="23" spans="1:13" x14ac:dyDescent="0.2">
      <c r="A23" s="270" t="s">
        <v>208</v>
      </c>
      <c r="B23" s="271" t="s">
        <v>457</v>
      </c>
      <c r="C23" s="272">
        <f>+'B a K'!E166</f>
        <v>7476</v>
      </c>
      <c r="D23" s="273">
        <f>+'B a K'!F166</f>
        <v>5484</v>
      </c>
      <c r="E23" s="273">
        <f>+'B a K'!G166</f>
        <v>1992</v>
      </c>
      <c r="F23" s="272">
        <f>+'B a K'!H166</f>
        <v>500</v>
      </c>
      <c r="G23" s="273">
        <f>+'B a K'!I166</f>
        <v>500</v>
      </c>
      <c r="H23" s="273">
        <f>+'B a K'!J166</f>
        <v>0</v>
      </c>
      <c r="I23" s="272">
        <f>+'B a K'!K166</f>
        <v>7976</v>
      </c>
      <c r="J23" s="273">
        <f>+'B a K'!L166</f>
        <v>5984</v>
      </c>
      <c r="K23" s="274">
        <f>+'B a K'!M166</f>
        <v>1992</v>
      </c>
      <c r="L23" s="275">
        <f t="shared" si="1"/>
        <v>21.019010925880053</v>
      </c>
      <c r="M23" s="276">
        <v>21</v>
      </c>
    </row>
    <row r="24" spans="1:13" x14ac:dyDescent="0.2">
      <c r="A24" s="270" t="s">
        <v>114</v>
      </c>
      <c r="B24" s="135" t="s">
        <v>115</v>
      </c>
      <c r="C24" s="272">
        <f>+'B a K'!E170</f>
        <v>546739</v>
      </c>
      <c r="D24" s="273">
        <f>+'B a K'!F170</f>
        <v>546594</v>
      </c>
      <c r="E24" s="273">
        <f>+'B a K'!G170</f>
        <v>145</v>
      </c>
      <c r="F24" s="272">
        <f>+'B a K'!H170</f>
        <v>10920</v>
      </c>
      <c r="G24" s="273">
        <f>+'B a K'!I170</f>
        <v>9450</v>
      </c>
      <c r="H24" s="273">
        <f>+'B a K'!J170</f>
        <v>1470</v>
      </c>
      <c r="I24" s="272">
        <f>+'B a K'!K170</f>
        <v>557659</v>
      </c>
      <c r="J24" s="273">
        <f>+'B a K'!L170</f>
        <v>556044</v>
      </c>
      <c r="K24" s="274">
        <f>+'B a K'!M170</f>
        <v>1615</v>
      </c>
      <c r="L24" s="275">
        <f t="shared" si="1"/>
        <v>1469.5888432692257</v>
      </c>
      <c r="M24" s="276">
        <v>1470</v>
      </c>
    </row>
    <row r="25" spans="1:13" x14ac:dyDescent="0.2">
      <c r="A25" s="270" t="s">
        <v>209</v>
      </c>
      <c r="B25" s="135" t="s">
        <v>116</v>
      </c>
      <c r="C25" s="272">
        <f>+'B a K'!E175</f>
        <v>18690</v>
      </c>
      <c r="D25" s="273">
        <f>+'B a K'!F175</f>
        <v>5000</v>
      </c>
      <c r="E25" s="273">
        <f>+'B a K'!G175</f>
        <v>13690</v>
      </c>
      <c r="F25" s="272">
        <f>+'B a K'!H175</f>
        <v>51566</v>
      </c>
      <c r="G25" s="273">
        <f>+'B a K'!I175</f>
        <v>46716</v>
      </c>
      <c r="H25" s="273">
        <f>+'B a K'!J175</f>
        <v>4850</v>
      </c>
      <c r="I25" s="272">
        <f>+'B a K'!K175</f>
        <v>70256</v>
      </c>
      <c r="J25" s="273">
        <f>+'B a K'!L175</f>
        <v>51716</v>
      </c>
      <c r="K25" s="274">
        <f>+'B a K'!M175</f>
        <v>18540</v>
      </c>
      <c r="L25" s="275">
        <f t="shared" si="1"/>
        <v>185.14438711241587</v>
      </c>
      <c r="M25" s="276">
        <v>185</v>
      </c>
    </row>
    <row r="26" spans="1:13" x14ac:dyDescent="0.2">
      <c r="A26" s="270" t="s">
        <v>117</v>
      </c>
      <c r="B26" s="135" t="s">
        <v>405</v>
      </c>
      <c r="C26" s="272">
        <f>+'B a K'!E182</f>
        <v>2481352</v>
      </c>
      <c r="D26" s="273">
        <f>+'B a K'!F182</f>
        <v>1420808</v>
      </c>
      <c r="E26" s="273">
        <f>+'B a K'!G182</f>
        <v>1060544</v>
      </c>
      <c r="F26" s="272">
        <f>+'B a K'!H182</f>
        <v>172252</v>
      </c>
      <c r="G26" s="273">
        <f>+'B a K'!I182</f>
        <v>136564</v>
      </c>
      <c r="H26" s="273">
        <f>+'B a K'!J182</f>
        <v>35688</v>
      </c>
      <c r="I26" s="272">
        <f>+'B a K'!K182</f>
        <v>2653604</v>
      </c>
      <c r="J26" s="273">
        <f>+'B a K'!L182</f>
        <v>1557372</v>
      </c>
      <c r="K26" s="274">
        <f>+'B a K'!M182</f>
        <v>1096232</v>
      </c>
      <c r="L26" s="275">
        <f t="shared" si="1"/>
        <v>6992.9954198795149</v>
      </c>
      <c r="M26" s="276">
        <v>6993</v>
      </c>
    </row>
    <row r="27" spans="1:13" x14ac:dyDescent="0.2">
      <c r="A27" s="270" t="s">
        <v>119</v>
      </c>
      <c r="B27" s="135" t="s">
        <v>120</v>
      </c>
      <c r="C27" s="272">
        <f>+'B a K'!E186</f>
        <v>17871</v>
      </c>
      <c r="D27" s="273">
        <f>+'B a K'!F186</f>
        <v>17841</v>
      </c>
      <c r="E27" s="273">
        <f>+'B a K'!G186</f>
        <v>30</v>
      </c>
      <c r="F27" s="272">
        <f>+'B a K'!H186</f>
        <v>2500</v>
      </c>
      <c r="G27" s="273">
        <f>+'B a K'!I186</f>
        <v>2500</v>
      </c>
      <c r="H27" s="273">
        <f>+'B a K'!J186</f>
        <v>0</v>
      </c>
      <c r="I27" s="272">
        <f>+'B a K'!K186</f>
        <v>20371</v>
      </c>
      <c r="J27" s="273">
        <f>+'B a K'!L186</f>
        <v>20341</v>
      </c>
      <c r="K27" s="274">
        <f>+'B a K'!M186</f>
        <v>30</v>
      </c>
      <c r="L27" s="275">
        <f t="shared" si="1"/>
        <v>53.683333948232516</v>
      </c>
      <c r="M27" s="276">
        <v>54</v>
      </c>
    </row>
    <row r="28" spans="1:13" x14ac:dyDescent="0.2">
      <c r="A28" s="270" t="s">
        <v>121</v>
      </c>
      <c r="B28" s="271" t="s">
        <v>210</v>
      </c>
      <c r="C28" s="272">
        <f>+'B a K'!E192</f>
        <v>665252</v>
      </c>
      <c r="D28" s="273">
        <f>+'B a K'!F192</f>
        <v>2601058</v>
      </c>
      <c r="E28" s="273">
        <f>+'B a K'!G192</f>
        <v>81935</v>
      </c>
      <c r="F28" s="272">
        <f>+'B a K'!H192</f>
        <v>0</v>
      </c>
      <c r="G28" s="273">
        <f>+'B a K'!I192</f>
        <v>266740</v>
      </c>
      <c r="H28" s="273">
        <f>+'B a K'!J192</f>
        <v>0</v>
      </c>
      <c r="I28" s="272">
        <f>+'B a K'!K192</f>
        <v>665252</v>
      </c>
      <c r="J28" s="273">
        <f>+'B a K'!L192</f>
        <v>2867798</v>
      </c>
      <c r="K28" s="274">
        <f>+'B a K'!M192</f>
        <v>81935</v>
      </c>
      <c r="L28" s="275">
        <f t="shared" si="1"/>
        <v>1753.1267623449796</v>
      </c>
      <c r="M28" s="276">
        <v>1753</v>
      </c>
    </row>
    <row r="29" spans="1:13" ht="13.5" thickBot="1" x14ac:dyDescent="0.25">
      <c r="A29" s="282" t="s">
        <v>211</v>
      </c>
      <c r="B29" s="283" t="s">
        <v>212</v>
      </c>
      <c r="C29" s="284">
        <f>+'B a K'!E195</f>
        <v>198935</v>
      </c>
      <c r="D29" s="285">
        <f>+'B a K'!F195</f>
        <v>111962</v>
      </c>
      <c r="E29" s="285">
        <f>+'B a K'!G195</f>
        <v>86973</v>
      </c>
      <c r="F29" s="284">
        <f>+'B a K'!H195</f>
        <v>306</v>
      </c>
      <c r="G29" s="285">
        <f>+'B a K'!I195</f>
        <v>0</v>
      </c>
      <c r="H29" s="285">
        <f>+'B a K'!J195</f>
        <v>306</v>
      </c>
      <c r="I29" s="284">
        <f>+'B a K'!K195</f>
        <v>199241</v>
      </c>
      <c r="J29" s="285">
        <f>+'B a K'!L195</f>
        <v>111962</v>
      </c>
      <c r="K29" s="286">
        <f>+'B a K'!M195</f>
        <v>87279</v>
      </c>
      <c r="L29" s="275">
        <f t="shared" si="1"/>
        <v>525.05626327523419</v>
      </c>
      <c r="M29" s="276">
        <v>525</v>
      </c>
    </row>
    <row r="30" spans="1:13" ht="13.5" thickBot="1" x14ac:dyDescent="0.25">
      <c r="A30" s="287"/>
      <c r="B30" s="288" t="s">
        <v>88</v>
      </c>
      <c r="C30" s="289">
        <f>SUM(C9:C29)</f>
        <v>13515030</v>
      </c>
      <c r="D30" s="290">
        <f>SUM(D9:D29)</f>
        <v>12821920</v>
      </c>
      <c r="E30" s="290">
        <f>SUM(E9:E29)</f>
        <v>2710851</v>
      </c>
      <c r="F30" s="289">
        <f>SUM(F9:F29)</f>
        <v>6299008</v>
      </c>
      <c r="G30" s="290">
        <f>SUM(G8:G29)</f>
        <v>5272947</v>
      </c>
      <c r="H30" s="290">
        <f t="shared" ref="H30:L30" si="2">SUM(H9:H29)</f>
        <v>1292801</v>
      </c>
      <c r="I30" s="289">
        <f>SUM(I9:I29)</f>
        <v>19814038</v>
      </c>
      <c r="J30" s="290">
        <f t="shared" si="2"/>
        <v>18094867</v>
      </c>
      <c r="K30" s="291">
        <f t="shared" si="2"/>
        <v>4003652</v>
      </c>
      <c r="L30" s="278">
        <f t="shared" si="2"/>
        <v>52215.58189666531</v>
      </c>
      <c r="M30" s="279">
        <f>SUM(M9:M29)</f>
        <v>52216</v>
      </c>
    </row>
    <row r="31" spans="1:13" x14ac:dyDescent="0.2">
      <c r="M31" s="276"/>
    </row>
    <row r="32" spans="1:13" x14ac:dyDescent="0.2">
      <c r="A32" s="259" t="s">
        <v>123</v>
      </c>
      <c r="I32" s="276"/>
      <c r="L32" s="276">
        <v>379466</v>
      </c>
      <c r="M32" s="276"/>
    </row>
    <row r="33" spans="13:13" x14ac:dyDescent="0.2">
      <c r="M33" s="275"/>
    </row>
    <row r="36" spans="13:13" x14ac:dyDescent="0.2">
      <c r="M36" s="275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48"/>
  <sheetViews>
    <sheetView showZeros="0" zoomScale="115" zoomScaleNormal="115" zoomScaleSheetLayoutView="100" workbookViewId="0">
      <pane xSplit="4" ySplit="5" topLeftCell="E97" activePane="bottomRight" state="frozen"/>
      <selection activeCell="I64" sqref="I64"/>
      <selection pane="topRight" activeCell="I64" sqref="I64"/>
      <selection pane="bottomLeft" activeCell="I64" sqref="I64"/>
      <selection pane="bottomRight" activeCell="D126" sqref="D126"/>
    </sheetView>
  </sheetViews>
  <sheetFormatPr defaultColWidth="9.140625" defaultRowHeight="12.75" x14ac:dyDescent="0.2"/>
  <cols>
    <col min="1" max="1" width="8" style="292" customWidth="1"/>
    <col min="2" max="2" width="6.5703125" style="292" customWidth="1"/>
    <col min="3" max="3" width="5.7109375" style="293" customWidth="1"/>
    <col min="4" max="4" width="51.28515625" style="294" customWidth="1"/>
    <col min="5" max="5" width="13" style="295" customWidth="1"/>
    <col min="6" max="13" width="13" style="292" customWidth="1"/>
    <col min="14" max="16384" width="9.140625" style="292"/>
  </cols>
  <sheetData>
    <row r="1" spans="1:15" ht="18.75" x14ac:dyDescent="0.3">
      <c r="A1" s="406" t="s">
        <v>446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5" x14ac:dyDescent="0.2">
      <c r="A2" s="416" t="s">
        <v>131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</row>
    <row r="3" spans="1:15" x14ac:dyDescent="0.2">
      <c r="M3" s="296" t="s">
        <v>298</v>
      </c>
    </row>
    <row r="4" spans="1:15" x14ac:dyDescent="0.2">
      <c r="A4" s="432" t="s">
        <v>296</v>
      </c>
      <c r="B4" s="432" t="s">
        <v>132</v>
      </c>
      <c r="C4" s="434" t="s">
        <v>133</v>
      </c>
      <c r="D4" s="434" t="s">
        <v>213</v>
      </c>
      <c r="E4" s="431" t="s">
        <v>199</v>
      </c>
      <c r="F4" s="431"/>
      <c r="G4" s="431"/>
      <c r="H4" s="431" t="s">
        <v>200</v>
      </c>
      <c r="I4" s="431"/>
      <c r="J4" s="431"/>
      <c r="K4" s="431" t="s">
        <v>201</v>
      </c>
      <c r="L4" s="431"/>
      <c r="M4" s="431"/>
    </row>
    <row r="5" spans="1:15" ht="25.5" x14ac:dyDescent="0.2">
      <c r="A5" s="433"/>
      <c r="B5" s="433"/>
      <c r="C5" s="434"/>
      <c r="D5" s="434"/>
      <c r="E5" s="325" t="s">
        <v>81</v>
      </c>
      <c r="F5" s="325" t="s">
        <v>6</v>
      </c>
      <c r="G5" s="325" t="s">
        <v>7</v>
      </c>
      <c r="H5" s="325" t="s">
        <v>81</v>
      </c>
      <c r="I5" s="325" t="s">
        <v>6</v>
      </c>
      <c r="J5" s="325" t="s">
        <v>7</v>
      </c>
      <c r="K5" s="325" t="s">
        <v>81</v>
      </c>
      <c r="L5" s="325" t="s">
        <v>6</v>
      </c>
      <c r="M5" s="325" t="s">
        <v>7</v>
      </c>
    </row>
    <row r="6" spans="1:15" x14ac:dyDescent="0.2">
      <c r="A6" s="329"/>
      <c r="B6" s="330"/>
      <c r="C6" s="329"/>
      <c r="D6" s="329"/>
      <c r="E6" s="324"/>
      <c r="F6" s="324"/>
      <c r="G6" s="324"/>
      <c r="H6" s="324"/>
      <c r="I6" s="324"/>
      <c r="J6" s="324"/>
      <c r="K6" s="324"/>
      <c r="L6" s="324"/>
      <c r="M6" s="324"/>
    </row>
    <row r="7" spans="1:15" x14ac:dyDescent="0.2">
      <c r="A7" s="297" t="str">
        <f t="shared" ref="A7:A12" si="0">MID(C7,1,1)</f>
        <v>1</v>
      </c>
      <c r="B7" s="297" t="str">
        <f t="shared" ref="B7:B12" si="1">MID(C7,1,2)</f>
        <v>10</v>
      </c>
      <c r="C7" s="297">
        <v>1012</v>
      </c>
      <c r="D7" s="331" t="s">
        <v>414</v>
      </c>
      <c r="E7" s="298">
        <f t="shared" ref="E7:E12" si="2">+F7+G7</f>
        <v>50</v>
      </c>
      <c r="F7" s="298"/>
      <c r="G7" s="298">
        <v>50</v>
      </c>
      <c r="H7" s="298">
        <f>+I7+J7</f>
        <v>0</v>
      </c>
      <c r="I7" s="298"/>
      <c r="J7" s="298"/>
      <c r="K7" s="342">
        <f>+L7+M7</f>
        <v>50</v>
      </c>
      <c r="L7" s="298">
        <f t="shared" ref="L7:L12" si="3">+F7+I7</f>
        <v>0</v>
      </c>
      <c r="M7" s="326">
        <f t="shared" ref="M7" si="4">+G7+J7</f>
        <v>50</v>
      </c>
    </row>
    <row r="8" spans="1:15" x14ac:dyDescent="0.2">
      <c r="A8" s="297" t="str">
        <f t="shared" si="0"/>
        <v>1</v>
      </c>
      <c r="B8" s="297" t="str">
        <f t="shared" si="1"/>
        <v>10</v>
      </c>
      <c r="C8" s="297">
        <v>1014</v>
      </c>
      <c r="D8" s="381" t="s">
        <v>324</v>
      </c>
      <c r="E8" s="298">
        <f t="shared" si="2"/>
        <v>14171</v>
      </c>
      <c r="F8" s="298">
        <v>13894</v>
      </c>
      <c r="G8" s="298">
        <v>277</v>
      </c>
      <c r="H8" s="298">
        <f>+I8+J8</f>
        <v>1500</v>
      </c>
      <c r="I8" s="298">
        <v>1500</v>
      </c>
      <c r="J8" s="298"/>
      <c r="K8" s="342">
        <f t="shared" ref="K8:K12" si="5">+L8+M8</f>
        <v>15671</v>
      </c>
      <c r="L8" s="298">
        <f t="shared" si="3"/>
        <v>15394</v>
      </c>
      <c r="M8" s="326">
        <f t="shared" ref="M8:M12" si="6">+G8+J8</f>
        <v>277</v>
      </c>
    </row>
    <row r="9" spans="1:15" x14ac:dyDescent="0.2">
      <c r="A9" s="299" t="str">
        <f t="shared" si="0"/>
        <v>1</v>
      </c>
      <c r="B9" s="299" t="str">
        <f t="shared" si="1"/>
        <v>10</v>
      </c>
      <c r="C9" s="297">
        <v>1019</v>
      </c>
      <c r="D9" s="331" t="s">
        <v>140</v>
      </c>
      <c r="E9" s="298">
        <f t="shared" si="2"/>
        <v>2244</v>
      </c>
      <c r="F9" s="298">
        <v>1998</v>
      </c>
      <c r="G9" s="298">
        <v>246</v>
      </c>
      <c r="H9" s="298">
        <f t="shared" ref="H9:H12" si="7">+I9+J9</f>
        <v>0</v>
      </c>
      <c r="I9" s="298"/>
      <c r="J9" s="298"/>
      <c r="K9" s="342">
        <f t="shared" si="5"/>
        <v>2244</v>
      </c>
      <c r="L9" s="298">
        <f t="shared" si="3"/>
        <v>1998</v>
      </c>
      <c r="M9" s="326">
        <f t="shared" si="6"/>
        <v>246</v>
      </c>
    </row>
    <row r="10" spans="1:15" x14ac:dyDescent="0.2">
      <c r="A10" s="299" t="str">
        <f t="shared" si="0"/>
        <v>1</v>
      </c>
      <c r="B10" s="299" t="str">
        <f t="shared" si="1"/>
        <v>10</v>
      </c>
      <c r="C10" s="299">
        <v>1037</v>
      </c>
      <c r="D10" s="226" t="s">
        <v>214</v>
      </c>
      <c r="E10" s="298">
        <f t="shared" si="2"/>
        <v>80</v>
      </c>
      <c r="F10" s="300">
        <v>80</v>
      </c>
      <c r="G10" s="300"/>
      <c r="H10" s="298">
        <f t="shared" si="7"/>
        <v>0</v>
      </c>
      <c r="I10" s="300"/>
      <c r="J10" s="300"/>
      <c r="K10" s="342">
        <f t="shared" si="5"/>
        <v>80</v>
      </c>
      <c r="L10" s="298">
        <f t="shared" si="3"/>
        <v>80</v>
      </c>
      <c r="M10" s="326">
        <f t="shared" si="6"/>
        <v>0</v>
      </c>
    </row>
    <row r="11" spans="1:15" x14ac:dyDescent="0.2">
      <c r="A11" s="299" t="str">
        <f t="shared" ref="A11" si="8">MID(C11,1,1)</f>
        <v>1</v>
      </c>
      <c r="B11" s="299" t="str">
        <f t="shared" ref="B11" si="9">MID(C11,1,2)</f>
        <v>10</v>
      </c>
      <c r="C11" s="299">
        <v>1039</v>
      </c>
      <c r="D11" s="226" t="s">
        <v>400</v>
      </c>
      <c r="E11" s="298">
        <f t="shared" ref="E11" si="10">+F11+G11</f>
        <v>0</v>
      </c>
      <c r="F11" s="300"/>
      <c r="G11" s="300"/>
      <c r="H11" s="298">
        <f t="shared" ref="H11" si="11">+I11+J11</f>
        <v>11000</v>
      </c>
      <c r="I11" s="300">
        <v>11000</v>
      </c>
      <c r="J11" s="300"/>
      <c r="K11" s="342">
        <f t="shared" ref="K11" si="12">+L11+M11</f>
        <v>11000</v>
      </c>
      <c r="L11" s="298">
        <f t="shared" si="3"/>
        <v>11000</v>
      </c>
      <c r="M11" s="326">
        <f t="shared" si="6"/>
        <v>0</v>
      </c>
    </row>
    <row r="12" spans="1:15" x14ac:dyDescent="0.2">
      <c r="A12" s="299" t="str">
        <f t="shared" si="0"/>
        <v>1</v>
      </c>
      <c r="B12" s="299" t="str">
        <f t="shared" si="1"/>
        <v>10</v>
      </c>
      <c r="C12" s="299">
        <v>1070</v>
      </c>
      <c r="D12" s="226" t="s">
        <v>419</v>
      </c>
      <c r="E12" s="298">
        <f t="shared" si="2"/>
        <v>20</v>
      </c>
      <c r="F12" s="300"/>
      <c r="G12" s="300">
        <v>20</v>
      </c>
      <c r="H12" s="298">
        <f t="shared" si="7"/>
        <v>0</v>
      </c>
      <c r="I12" s="300"/>
      <c r="J12" s="300"/>
      <c r="K12" s="342">
        <f t="shared" si="5"/>
        <v>20</v>
      </c>
      <c r="L12" s="298">
        <f t="shared" si="3"/>
        <v>0</v>
      </c>
      <c r="M12" s="326">
        <f t="shared" si="6"/>
        <v>20</v>
      </c>
    </row>
    <row r="13" spans="1:15" x14ac:dyDescent="0.2">
      <c r="A13" s="301" t="s">
        <v>406</v>
      </c>
      <c r="B13" s="301"/>
      <c r="C13" s="302"/>
      <c r="D13" s="332"/>
      <c r="E13" s="303">
        <f t="shared" ref="E13:M13" si="13">SUM(E7:E12)</f>
        <v>16565</v>
      </c>
      <c r="F13" s="303">
        <f t="shared" si="13"/>
        <v>15972</v>
      </c>
      <c r="G13" s="303">
        <f t="shared" si="13"/>
        <v>593</v>
      </c>
      <c r="H13" s="303">
        <f t="shared" si="13"/>
        <v>12500</v>
      </c>
      <c r="I13" s="303">
        <f t="shared" si="13"/>
        <v>12500</v>
      </c>
      <c r="J13" s="303">
        <f t="shared" si="13"/>
        <v>0</v>
      </c>
      <c r="K13" s="341">
        <f t="shared" si="13"/>
        <v>29065</v>
      </c>
      <c r="L13" s="303">
        <f t="shared" si="13"/>
        <v>28472</v>
      </c>
      <c r="M13" s="304">
        <f t="shared" si="13"/>
        <v>593</v>
      </c>
      <c r="N13" s="295"/>
      <c r="O13" s="295"/>
    </row>
    <row r="14" spans="1:15" ht="12" customHeight="1" thickBot="1" x14ac:dyDescent="0.25">
      <c r="A14" s="306"/>
      <c r="B14" s="305"/>
      <c r="C14" s="306"/>
      <c r="D14" s="333"/>
      <c r="E14" s="307"/>
      <c r="F14" s="307"/>
      <c r="G14" s="307"/>
      <c r="H14" s="307"/>
      <c r="I14" s="307"/>
      <c r="J14" s="307"/>
      <c r="K14" s="343"/>
      <c r="L14" s="307"/>
      <c r="M14" s="344"/>
      <c r="N14" s="295"/>
      <c r="O14" s="295"/>
    </row>
    <row r="15" spans="1:15" ht="14.25" thickTop="1" thickBot="1" x14ac:dyDescent="0.25">
      <c r="A15" s="321" t="s">
        <v>407</v>
      </c>
      <c r="B15" s="308"/>
      <c r="C15" s="308"/>
      <c r="D15" s="334"/>
      <c r="E15" s="309">
        <f>+E13</f>
        <v>16565</v>
      </c>
      <c r="F15" s="309">
        <f>+F13</f>
        <v>15972</v>
      </c>
      <c r="G15" s="309">
        <f>+G13</f>
        <v>593</v>
      </c>
      <c r="H15" s="309">
        <f>+H13</f>
        <v>12500</v>
      </c>
      <c r="I15" s="309">
        <f>I13</f>
        <v>12500</v>
      </c>
      <c r="J15" s="309">
        <f>J13</f>
        <v>0</v>
      </c>
      <c r="K15" s="345">
        <f>+K13</f>
        <v>29065</v>
      </c>
      <c r="L15" s="309">
        <f>+L13</f>
        <v>28472</v>
      </c>
      <c r="M15" s="346">
        <f>+M13</f>
        <v>593</v>
      </c>
      <c r="N15" s="295"/>
      <c r="O15" s="295"/>
    </row>
    <row r="16" spans="1:15" ht="10.5" customHeight="1" thickTop="1" x14ac:dyDescent="0.2">
      <c r="A16" s="335"/>
      <c r="B16" s="297"/>
      <c r="C16" s="297"/>
      <c r="D16" s="331"/>
      <c r="E16" s="310"/>
      <c r="F16" s="310"/>
      <c r="G16" s="310"/>
      <c r="H16" s="310"/>
      <c r="I16" s="310"/>
      <c r="J16" s="310"/>
      <c r="K16" s="347"/>
      <c r="L16" s="310"/>
      <c r="M16" s="348"/>
      <c r="N16" s="295"/>
      <c r="O16" s="295"/>
    </row>
    <row r="17" spans="1:15" x14ac:dyDescent="0.2">
      <c r="A17" s="299" t="str">
        <f t="shared" ref="A17:A21" si="14">MID(C17,1,1)</f>
        <v>2</v>
      </c>
      <c r="B17" s="299" t="str">
        <f t="shared" ref="B17:B21" si="15">MID(C17,1,2)</f>
        <v>21</v>
      </c>
      <c r="C17" s="299">
        <v>2115</v>
      </c>
      <c r="D17" s="226" t="s">
        <v>215</v>
      </c>
      <c r="E17" s="298">
        <f>+F17+G17</f>
        <v>2580</v>
      </c>
      <c r="F17" s="300">
        <v>2580</v>
      </c>
      <c r="G17" s="300"/>
      <c r="H17" s="300">
        <f>+I17+J17</f>
        <v>0</v>
      </c>
      <c r="I17" s="300"/>
      <c r="J17" s="300"/>
      <c r="K17" s="342">
        <f t="shared" ref="K17" si="16">+L17+M17</f>
        <v>2580</v>
      </c>
      <c r="L17" s="298">
        <f t="shared" ref="L17" si="17">+F17+I17</f>
        <v>2580</v>
      </c>
      <c r="M17" s="326">
        <f t="shared" ref="M17" si="18">+G17+J17</f>
        <v>0</v>
      </c>
      <c r="N17" s="295"/>
      <c r="O17" s="295"/>
    </row>
    <row r="18" spans="1:15" x14ac:dyDescent="0.2">
      <c r="A18" s="299" t="str">
        <f t="shared" si="14"/>
        <v>2</v>
      </c>
      <c r="B18" s="299" t="str">
        <f t="shared" si="15"/>
        <v>21</v>
      </c>
      <c r="C18" s="299">
        <v>2125</v>
      </c>
      <c r="D18" s="226" t="s">
        <v>319</v>
      </c>
      <c r="E18" s="298">
        <f>+F18+G18</f>
        <v>26850</v>
      </c>
      <c r="F18" s="300">
        <v>26850</v>
      </c>
      <c r="G18" s="300"/>
      <c r="H18" s="300">
        <f t="shared" ref="H18:H21" si="19">+I18+J18</f>
        <v>8500</v>
      </c>
      <c r="I18" s="300">
        <v>8500</v>
      </c>
      <c r="J18" s="300"/>
      <c r="K18" s="342">
        <f t="shared" ref="K18:K21" si="20">+L18+M18</f>
        <v>35350</v>
      </c>
      <c r="L18" s="298">
        <f t="shared" ref="L18:L21" si="21">+F18+I18</f>
        <v>35350</v>
      </c>
      <c r="M18" s="326">
        <f t="shared" ref="M18:M21" si="22">+G18+J18</f>
        <v>0</v>
      </c>
      <c r="N18" s="295"/>
      <c r="O18" s="295"/>
    </row>
    <row r="19" spans="1:15" x14ac:dyDescent="0.2">
      <c r="A19" s="299" t="str">
        <f t="shared" si="14"/>
        <v>2</v>
      </c>
      <c r="B19" s="299" t="str">
        <f t="shared" si="15"/>
        <v>21</v>
      </c>
      <c r="C19" s="299">
        <v>2141</v>
      </c>
      <c r="D19" s="226" t="s">
        <v>144</v>
      </c>
      <c r="E19" s="298">
        <f t="shared" ref="E19:E21" si="23">+F19+G19</f>
        <v>4375</v>
      </c>
      <c r="F19" s="300"/>
      <c r="G19" s="300">
        <v>4375</v>
      </c>
      <c r="H19" s="298">
        <f>+I19+J19</f>
        <v>0</v>
      </c>
      <c r="I19" s="300"/>
      <c r="J19" s="300"/>
      <c r="K19" s="342">
        <f t="shared" si="20"/>
        <v>4375</v>
      </c>
      <c r="L19" s="298">
        <f t="shared" si="21"/>
        <v>0</v>
      </c>
      <c r="M19" s="326">
        <f t="shared" si="22"/>
        <v>4375</v>
      </c>
      <c r="N19" s="295"/>
      <c r="O19" s="295"/>
    </row>
    <row r="20" spans="1:15" x14ac:dyDescent="0.2">
      <c r="A20" s="299" t="str">
        <f t="shared" si="14"/>
        <v>2</v>
      </c>
      <c r="B20" s="299" t="str">
        <f t="shared" si="15"/>
        <v>21</v>
      </c>
      <c r="C20" s="299">
        <v>2143</v>
      </c>
      <c r="D20" s="336" t="s">
        <v>145</v>
      </c>
      <c r="E20" s="298">
        <f t="shared" ref="E20" si="24">+F20+G20</f>
        <v>50757</v>
      </c>
      <c r="F20" s="300">
        <v>50537</v>
      </c>
      <c r="G20" s="300">
        <v>220</v>
      </c>
      <c r="H20" s="300">
        <f t="shared" ref="H20" si="25">+I20+J20</f>
        <v>12608</v>
      </c>
      <c r="I20" s="300">
        <v>12608</v>
      </c>
      <c r="J20" s="300"/>
      <c r="K20" s="342">
        <f t="shared" ref="K20" si="26">+L20+M20</f>
        <v>63365</v>
      </c>
      <c r="L20" s="298">
        <f t="shared" si="21"/>
        <v>63145</v>
      </c>
      <c r="M20" s="326">
        <f t="shared" si="22"/>
        <v>220</v>
      </c>
      <c r="N20" s="295"/>
      <c r="O20" s="295"/>
    </row>
    <row r="21" spans="1:15" x14ac:dyDescent="0.2">
      <c r="A21" s="299" t="str">
        <f t="shared" si="14"/>
        <v>2</v>
      </c>
      <c r="B21" s="299" t="str">
        <f t="shared" si="15"/>
        <v>21</v>
      </c>
      <c r="C21" s="299">
        <v>2169</v>
      </c>
      <c r="D21" s="336" t="s">
        <v>147</v>
      </c>
      <c r="E21" s="298">
        <f t="shared" si="23"/>
        <v>3000</v>
      </c>
      <c r="F21" s="300"/>
      <c r="G21" s="300">
        <v>3000</v>
      </c>
      <c r="H21" s="300">
        <f t="shared" si="19"/>
        <v>0</v>
      </c>
      <c r="I21" s="300"/>
      <c r="J21" s="300"/>
      <c r="K21" s="342">
        <f t="shared" si="20"/>
        <v>3000</v>
      </c>
      <c r="L21" s="298">
        <f t="shared" si="21"/>
        <v>0</v>
      </c>
      <c r="M21" s="326">
        <f t="shared" si="22"/>
        <v>3000</v>
      </c>
      <c r="N21" s="295"/>
      <c r="O21" s="295"/>
    </row>
    <row r="22" spans="1:15" x14ac:dyDescent="0.2">
      <c r="A22" s="301" t="s">
        <v>148</v>
      </c>
      <c r="B22" s="301"/>
      <c r="C22" s="302"/>
      <c r="D22" s="332"/>
      <c r="E22" s="303">
        <f t="shared" ref="E22:M22" si="27">SUM(E17:E21)</f>
        <v>87562</v>
      </c>
      <c r="F22" s="303">
        <f t="shared" si="27"/>
        <v>79967</v>
      </c>
      <c r="G22" s="303">
        <f t="shared" si="27"/>
        <v>7595</v>
      </c>
      <c r="H22" s="303">
        <f t="shared" si="27"/>
        <v>21108</v>
      </c>
      <c r="I22" s="303">
        <f t="shared" si="27"/>
        <v>21108</v>
      </c>
      <c r="J22" s="303">
        <f t="shared" si="27"/>
        <v>0</v>
      </c>
      <c r="K22" s="341">
        <f t="shared" si="27"/>
        <v>108670</v>
      </c>
      <c r="L22" s="303">
        <f t="shared" si="27"/>
        <v>101075</v>
      </c>
      <c r="M22" s="304">
        <f t="shared" si="27"/>
        <v>7595</v>
      </c>
      <c r="N22" s="295"/>
      <c r="O22" s="295"/>
    </row>
    <row r="23" spans="1:15" ht="10.5" customHeight="1" x14ac:dyDescent="0.2">
      <c r="A23" s="299"/>
      <c r="B23" s="311"/>
      <c r="C23" s="299"/>
      <c r="D23" s="226"/>
      <c r="E23" s="312"/>
      <c r="F23" s="312"/>
      <c r="G23" s="312"/>
      <c r="H23" s="312"/>
      <c r="I23" s="312"/>
      <c r="J23" s="312"/>
      <c r="K23" s="349"/>
      <c r="L23" s="312"/>
      <c r="M23" s="327"/>
      <c r="N23" s="295"/>
      <c r="O23" s="295"/>
    </row>
    <row r="24" spans="1:15" x14ac:dyDescent="0.2">
      <c r="A24" s="299" t="str">
        <f>MID(C24,1,1)</f>
        <v>2</v>
      </c>
      <c r="B24" s="299" t="str">
        <f>MID(C24,1,2)</f>
        <v>22</v>
      </c>
      <c r="C24" s="299">
        <v>2212</v>
      </c>
      <c r="D24" s="226" t="s">
        <v>216</v>
      </c>
      <c r="E24" s="298">
        <f t="shared" ref="E24:E34" si="28">+F24+G24</f>
        <v>678325</v>
      </c>
      <c r="F24" s="300">
        <v>534060</v>
      </c>
      <c r="G24" s="300">
        <v>144265</v>
      </c>
      <c r="H24" s="300">
        <f t="shared" ref="H24:H34" si="29">+I24+J24</f>
        <v>776435</v>
      </c>
      <c r="I24" s="300">
        <v>753970</v>
      </c>
      <c r="J24" s="300">
        <v>22465</v>
      </c>
      <c r="K24" s="342">
        <f t="shared" ref="K24" si="30">+L24+M24</f>
        <v>1454760</v>
      </c>
      <c r="L24" s="298">
        <f t="shared" ref="L24:L34" si="31">+F24+I24</f>
        <v>1288030</v>
      </c>
      <c r="M24" s="326">
        <f t="shared" ref="M24:M34" si="32">+G24+J24</f>
        <v>166730</v>
      </c>
      <c r="N24" s="295"/>
      <c r="O24" s="295"/>
    </row>
    <row r="25" spans="1:15" x14ac:dyDescent="0.2">
      <c r="A25" s="299">
        <v>2</v>
      </c>
      <c r="B25" s="299">
        <v>22</v>
      </c>
      <c r="C25" s="299">
        <v>2219</v>
      </c>
      <c r="D25" s="226" t="s">
        <v>150</v>
      </c>
      <c r="E25" s="298">
        <f t="shared" si="28"/>
        <v>376778</v>
      </c>
      <c r="F25" s="300">
        <v>248254</v>
      </c>
      <c r="G25" s="300">
        <v>128524</v>
      </c>
      <c r="H25" s="300">
        <f t="shared" si="29"/>
        <v>532432</v>
      </c>
      <c r="I25" s="300">
        <v>503571</v>
      </c>
      <c r="J25" s="300">
        <v>28861</v>
      </c>
      <c r="K25" s="342">
        <f t="shared" ref="K25:K34" si="33">+L25+M25</f>
        <v>909210</v>
      </c>
      <c r="L25" s="298">
        <f t="shared" si="31"/>
        <v>751825</v>
      </c>
      <c r="M25" s="326">
        <f t="shared" si="32"/>
        <v>157385</v>
      </c>
      <c r="N25" s="295"/>
      <c r="O25" s="295"/>
    </row>
    <row r="26" spans="1:15" x14ac:dyDescent="0.2">
      <c r="A26" s="299">
        <v>2</v>
      </c>
      <c r="B26" s="299">
        <v>22</v>
      </c>
      <c r="C26" s="299">
        <v>2221</v>
      </c>
      <c r="D26" s="226" t="s">
        <v>336</v>
      </c>
      <c r="E26" s="298">
        <f t="shared" si="28"/>
        <v>216</v>
      </c>
      <c r="F26" s="300"/>
      <c r="G26" s="300">
        <v>216</v>
      </c>
      <c r="H26" s="298">
        <f>+I26+J26</f>
        <v>270</v>
      </c>
      <c r="I26" s="300"/>
      <c r="J26" s="300">
        <v>270</v>
      </c>
      <c r="K26" s="342">
        <f t="shared" si="33"/>
        <v>486</v>
      </c>
      <c r="L26" s="298">
        <f t="shared" si="31"/>
        <v>0</v>
      </c>
      <c r="M26" s="326">
        <f t="shared" si="32"/>
        <v>486</v>
      </c>
      <c r="N26" s="295"/>
      <c r="O26" s="295"/>
    </row>
    <row r="27" spans="1:15" x14ac:dyDescent="0.2">
      <c r="A27" s="299" t="str">
        <f t="shared" ref="A27:A31" si="34">MID(C27,1,1)</f>
        <v>2</v>
      </c>
      <c r="B27" s="299" t="str">
        <f t="shared" ref="B27:B31" si="35">MID(C27,1,2)</f>
        <v>22</v>
      </c>
      <c r="C27" s="299">
        <v>2223</v>
      </c>
      <c r="D27" s="226" t="s">
        <v>217</v>
      </c>
      <c r="E27" s="298">
        <f t="shared" si="28"/>
        <v>3385</v>
      </c>
      <c r="F27" s="300">
        <v>3100</v>
      </c>
      <c r="G27" s="300">
        <v>285</v>
      </c>
      <c r="H27" s="298">
        <f>+I27+J27</f>
        <v>0</v>
      </c>
      <c r="I27" s="300"/>
      <c r="J27" s="300"/>
      <c r="K27" s="342">
        <f>+L27+M27</f>
        <v>3385</v>
      </c>
      <c r="L27" s="298">
        <f t="shared" si="31"/>
        <v>3100</v>
      </c>
      <c r="M27" s="326">
        <f t="shared" si="32"/>
        <v>285</v>
      </c>
      <c r="N27" s="295"/>
      <c r="O27" s="295"/>
    </row>
    <row r="28" spans="1:15" x14ac:dyDescent="0.2">
      <c r="A28" s="299" t="str">
        <f t="shared" si="34"/>
        <v>2</v>
      </c>
      <c r="B28" s="299" t="str">
        <f t="shared" si="35"/>
        <v>22</v>
      </c>
      <c r="C28" s="299">
        <v>2229</v>
      </c>
      <c r="D28" s="226" t="s">
        <v>218</v>
      </c>
      <c r="E28" s="298">
        <f t="shared" si="28"/>
        <v>15495</v>
      </c>
      <c r="F28" s="300">
        <v>14180</v>
      </c>
      <c r="G28" s="300">
        <v>1315</v>
      </c>
      <c r="H28" s="300">
        <f t="shared" si="29"/>
        <v>15000</v>
      </c>
      <c r="I28" s="300">
        <v>15000</v>
      </c>
      <c r="J28" s="300"/>
      <c r="K28" s="342">
        <f t="shared" ref="K28:K30" si="36">+L28+M28</f>
        <v>30495</v>
      </c>
      <c r="L28" s="298">
        <f t="shared" si="31"/>
        <v>29180</v>
      </c>
      <c r="M28" s="326">
        <f t="shared" si="32"/>
        <v>1315</v>
      </c>
      <c r="N28" s="295"/>
      <c r="O28" s="295"/>
    </row>
    <row r="29" spans="1:15" x14ac:dyDescent="0.2">
      <c r="A29" s="299" t="str">
        <f t="shared" si="34"/>
        <v>2</v>
      </c>
      <c r="B29" s="299" t="str">
        <f t="shared" si="35"/>
        <v>22</v>
      </c>
      <c r="C29" s="299">
        <v>2271</v>
      </c>
      <c r="D29" s="226" t="s">
        <v>219</v>
      </c>
      <c r="E29" s="298">
        <f t="shared" si="28"/>
        <v>8344</v>
      </c>
      <c r="F29" s="300">
        <v>8344</v>
      </c>
      <c r="G29" s="300"/>
      <c r="H29" s="300">
        <f t="shared" si="29"/>
        <v>210500</v>
      </c>
      <c r="I29" s="300">
        <v>210500</v>
      </c>
      <c r="J29" s="300"/>
      <c r="K29" s="342">
        <f t="shared" si="36"/>
        <v>218844</v>
      </c>
      <c r="L29" s="298">
        <f t="shared" si="31"/>
        <v>218844</v>
      </c>
      <c r="M29" s="326">
        <f t="shared" si="32"/>
        <v>0</v>
      </c>
      <c r="N29" s="295"/>
      <c r="O29" s="295"/>
    </row>
    <row r="30" spans="1:15" x14ac:dyDescent="0.2">
      <c r="A30" s="299" t="str">
        <f t="shared" si="34"/>
        <v>2</v>
      </c>
      <c r="B30" s="299" t="str">
        <f t="shared" si="35"/>
        <v>22</v>
      </c>
      <c r="C30" s="299">
        <v>2291</v>
      </c>
      <c r="D30" s="226" t="s">
        <v>449</v>
      </c>
      <c r="E30" s="298">
        <f t="shared" si="28"/>
        <v>80</v>
      </c>
      <c r="F30" s="300">
        <v>80</v>
      </c>
      <c r="G30" s="300"/>
      <c r="H30" s="300"/>
      <c r="I30" s="300"/>
      <c r="J30" s="300"/>
      <c r="K30" s="342">
        <f t="shared" si="36"/>
        <v>80</v>
      </c>
      <c r="L30" s="298">
        <f t="shared" si="31"/>
        <v>80</v>
      </c>
      <c r="M30" s="326"/>
      <c r="N30" s="295"/>
      <c r="O30" s="295"/>
    </row>
    <row r="31" spans="1:15" x14ac:dyDescent="0.2">
      <c r="A31" s="299" t="str">
        <f t="shared" si="34"/>
        <v>2</v>
      </c>
      <c r="B31" s="299" t="str">
        <f t="shared" si="35"/>
        <v>22</v>
      </c>
      <c r="C31" s="299">
        <v>2292</v>
      </c>
      <c r="D31" s="226" t="s">
        <v>331</v>
      </c>
      <c r="E31" s="298">
        <f t="shared" si="28"/>
        <v>895854</v>
      </c>
      <c r="F31" s="300">
        <v>895854</v>
      </c>
      <c r="G31" s="300"/>
      <c r="H31" s="300">
        <f t="shared" si="29"/>
        <v>0</v>
      </c>
      <c r="I31" s="300"/>
      <c r="J31" s="300"/>
      <c r="K31" s="342">
        <f t="shared" si="33"/>
        <v>895854</v>
      </c>
      <c r="L31" s="298">
        <f t="shared" si="31"/>
        <v>895854</v>
      </c>
      <c r="M31" s="326">
        <f t="shared" si="32"/>
        <v>0</v>
      </c>
      <c r="N31" s="295"/>
      <c r="O31" s="295"/>
    </row>
    <row r="32" spans="1:15" x14ac:dyDescent="0.2">
      <c r="A32" s="299" t="str">
        <f t="shared" ref="A32:A33" si="37">MID(C32,1,1)</f>
        <v>2</v>
      </c>
      <c r="B32" s="299" t="str">
        <f t="shared" ref="B32:B33" si="38">MID(C32,1,2)</f>
        <v>22</v>
      </c>
      <c r="C32" s="299">
        <v>2293</v>
      </c>
      <c r="D32" s="226" t="s">
        <v>354</v>
      </c>
      <c r="E32" s="298">
        <f t="shared" ref="E32:E33" si="39">+F32+G32</f>
        <v>20424</v>
      </c>
      <c r="F32" s="300">
        <v>20424</v>
      </c>
      <c r="G32" s="300"/>
      <c r="H32" s="300">
        <f t="shared" ref="H32:H33" si="40">+I32+J32</f>
        <v>0</v>
      </c>
      <c r="I32" s="300"/>
      <c r="J32" s="300"/>
      <c r="K32" s="342">
        <f t="shared" ref="K32:K33" si="41">+L32+M32</f>
        <v>20424</v>
      </c>
      <c r="L32" s="298">
        <f t="shared" si="31"/>
        <v>20424</v>
      </c>
      <c r="M32" s="326">
        <f t="shared" si="32"/>
        <v>0</v>
      </c>
      <c r="N32" s="295"/>
      <c r="O32" s="295"/>
    </row>
    <row r="33" spans="1:15" x14ac:dyDescent="0.2">
      <c r="A33" s="299" t="str">
        <f t="shared" si="37"/>
        <v>2</v>
      </c>
      <c r="B33" s="299" t="str">
        <f t="shared" si="38"/>
        <v>22</v>
      </c>
      <c r="C33" s="299">
        <v>2294</v>
      </c>
      <c r="D33" s="226" t="s">
        <v>355</v>
      </c>
      <c r="E33" s="298">
        <f t="shared" si="39"/>
        <v>1853722</v>
      </c>
      <c r="F33" s="300">
        <v>1853722</v>
      </c>
      <c r="G33" s="300"/>
      <c r="H33" s="300">
        <f t="shared" si="40"/>
        <v>0</v>
      </c>
      <c r="I33" s="300"/>
      <c r="J33" s="300"/>
      <c r="K33" s="342">
        <f t="shared" si="41"/>
        <v>1853722</v>
      </c>
      <c r="L33" s="298">
        <f t="shared" si="31"/>
        <v>1853722</v>
      </c>
      <c r="M33" s="326">
        <f t="shared" si="32"/>
        <v>0</v>
      </c>
      <c r="N33" s="295"/>
      <c r="O33" s="295"/>
    </row>
    <row r="34" spans="1:15" x14ac:dyDescent="0.2">
      <c r="A34" s="299">
        <v>2</v>
      </c>
      <c r="B34" s="299">
        <v>22</v>
      </c>
      <c r="C34" s="299">
        <v>2299</v>
      </c>
      <c r="D34" s="226" t="s">
        <v>220</v>
      </c>
      <c r="E34" s="298">
        <f t="shared" si="28"/>
        <v>19023</v>
      </c>
      <c r="F34" s="300">
        <v>19023</v>
      </c>
      <c r="G34" s="300"/>
      <c r="H34" s="300">
        <f t="shared" si="29"/>
        <v>0</v>
      </c>
      <c r="I34" s="300"/>
      <c r="J34" s="300"/>
      <c r="K34" s="342">
        <f t="shared" si="33"/>
        <v>19023</v>
      </c>
      <c r="L34" s="298">
        <f t="shared" si="31"/>
        <v>19023</v>
      </c>
      <c r="M34" s="326">
        <f t="shared" si="32"/>
        <v>0</v>
      </c>
      <c r="N34" s="295"/>
      <c r="O34" s="295"/>
    </row>
    <row r="35" spans="1:15" x14ac:dyDescent="0.2">
      <c r="A35" s="301" t="s">
        <v>151</v>
      </c>
      <c r="B35" s="301"/>
      <c r="C35" s="302"/>
      <c r="D35" s="332"/>
      <c r="E35" s="303">
        <f t="shared" ref="E35:M35" si="42">SUM(E24:E34)</f>
        <v>3871646</v>
      </c>
      <c r="F35" s="303">
        <f t="shared" si="42"/>
        <v>3597041</v>
      </c>
      <c r="G35" s="303">
        <f t="shared" si="42"/>
        <v>274605</v>
      </c>
      <c r="H35" s="303">
        <f t="shared" si="42"/>
        <v>1534637</v>
      </c>
      <c r="I35" s="303">
        <f t="shared" si="42"/>
        <v>1483041</v>
      </c>
      <c r="J35" s="303">
        <f t="shared" si="42"/>
        <v>51596</v>
      </c>
      <c r="K35" s="341">
        <f t="shared" si="42"/>
        <v>5406283</v>
      </c>
      <c r="L35" s="303">
        <f t="shared" si="42"/>
        <v>5080082</v>
      </c>
      <c r="M35" s="304">
        <f t="shared" si="42"/>
        <v>326201</v>
      </c>
      <c r="N35" s="295"/>
      <c r="O35" s="295"/>
    </row>
    <row r="36" spans="1:15" ht="10.5" customHeight="1" x14ac:dyDescent="0.2">
      <c r="A36" s="299"/>
      <c r="B36" s="311"/>
      <c r="C36" s="299"/>
      <c r="D36" s="226"/>
      <c r="E36" s="312"/>
      <c r="F36" s="312"/>
      <c r="G36" s="312"/>
      <c r="H36" s="312"/>
      <c r="I36" s="312"/>
      <c r="J36" s="312"/>
      <c r="K36" s="349"/>
      <c r="L36" s="312"/>
      <c r="M36" s="327"/>
      <c r="N36" s="295"/>
      <c r="O36" s="295"/>
    </row>
    <row r="37" spans="1:15" x14ac:dyDescent="0.2">
      <c r="A37" s="299" t="str">
        <f>MID(C37,1,1)</f>
        <v>2</v>
      </c>
      <c r="B37" s="299" t="str">
        <f t="shared" ref="B37:B42" si="43">MID(C37,1,2)</f>
        <v>23</v>
      </c>
      <c r="C37" s="299">
        <v>2310</v>
      </c>
      <c r="D37" s="226" t="s">
        <v>221</v>
      </c>
      <c r="E37" s="298">
        <f t="shared" ref="E37:E41" si="44">+F37+G37</f>
        <v>172</v>
      </c>
      <c r="F37" s="300">
        <v>150</v>
      </c>
      <c r="G37" s="300">
        <v>22</v>
      </c>
      <c r="H37" s="300">
        <f t="shared" ref="H37:H42" si="45">+I37+J37</f>
        <v>111381</v>
      </c>
      <c r="I37" s="300">
        <v>111381</v>
      </c>
      <c r="J37" s="300"/>
      <c r="K37" s="342">
        <f t="shared" ref="K37" si="46">+L37+M37</f>
        <v>111553</v>
      </c>
      <c r="L37" s="298">
        <f t="shared" ref="L37:L42" si="47">+F37+I37</f>
        <v>111531</v>
      </c>
      <c r="M37" s="326">
        <f t="shared" ref="M37:M42" si="48">+G37+J37</f>
        <v>22</v>
      </c>
      <c r="N37" s="295"/>
      <c r="O37" s="295"/>
    </row>
    <row r="38" spans="1:15" x14ac:dyDescent="0.2">
      <c r="A38" s="299" t="str">
        <f>MID(C38,1,1)</f>
        <v>2</v>
      </c>
      <c r="B38" s="299" t="str">
        <f t="shared" si="43"/>
        <v>23</v>
      </c>
      <c r="C38" s="299">
        <v>2321</v>
      </c>
      <c r="D38" s="226" t="s">
        <v>222</v>
      </c>
      <c r="E38" s="298">
        <f t="shared" si="44"/>
        <v>1160</v>
      </c>
      <c r="F38" s="300">
        <v>100</v>
      </c>
      <c r="G38" s="300">
        <v>1060</v>
      </c>
      <c r="H38" s="300">
        <f t="shared" si="45"/>
        <v>830761</v>
      </c>
      <c r="I38" s="300">
        <v>829251</v>
      </c>
      <c r="J38" s="300">
        <v>1510</v>
      </c>
      <c r="K38" s="342">
        <f t="shared" ref="K38:K42" si="49">+L38+M38</f>
        <v>831921</v>
      </c>
      <c r="L38" s="298">
        <f t="shared" si="47"/>
        <v>829351</v>
      </c>
      <c r="M38" s="326">
        <f t="shared" si="48"/>
        <v>2570</v>
      </c>
      <c r="N38" s="295"/>
      <c r="O38" s="295"/>
    </row>
    <row r="39" spans="1:15" x14ac:dyDescent="0.2">
      <c r="A39" s="299">
        <v>2</v>
      </c>
      <c r="B39" s="299" t="str">
        <f t="shared" si="43"/>
        <v>23</v>
      </c>
      <c r="C39" s="299">
        <v>2329</v>
      </c>
      <c r="D39" s="226" t="s">
        <v>223</v>
      </c>
      <c r="E39" s="298">
        <f>+F39+G39</f>
        <v>200</v>
      </c>
      <c r="F39" s="300">
        <v>200</v>
      </c>
      <c r="G39" s="300"/>
      <c r="H39" s="300">
        <f t="shared" si="45"/>
        <v>6866</v>
      </c>
      <c r="I39" s="300">
        <v>6866</v>
      </c>
      <c r="J39" s="300"/>
      <c r="K39" s="342">
        <f t="shared" si="49"/>
        <v>7066</v>
      </c>
      <c r="L39" s="298">
        <f t="shared" si="47"/>
        <v>7066</v>
      </c>
      <c r="M39" s="326">
        <f t="shared" si="48"/>
        <v>0</v>
      </c>
      <c r="N39" s="295"/>
      <c r="O39" s="295"/>
    </row>
    <row r="40" spans="1:15" x14ac:dyDescent="0.2">
      <c r="A40" s="299">
        <v>2</v>
      </c>
      <c r="B40" s="299" t="str">
        <f t="shared" si="43"/>
        <v>23</v>
      </c>
      <c r="C40" s="299">
        <v>2331</v>
      </c>
      <c r="D40" s="226" t="s">
        <v>420</v>
      </c>
      <c r="E40" s="298">
        <f t="shared" si="44"/>
        <v>4000</v>
      </c>
      <c r="F40" s="300">
        <v>4000</v>
      </c>
      <c r="G40" s="300"/>
      <c r="H40" s="300">
        <f t="shared" si="45"/>
        <v>12000</v>
      </c>
      <c r="I40" s="300">
        <v>12000</v>
      </c>
      <c r="J40" s="300"/>
      <c r="K40" s="342">
        <f t="shared" si="49"/>
        <v>16000</v>
      </c>
      <c r="L40" s="298">
        <f t="shared" si="47"/>
        <v>16000</v>
      </c>
      <c r="M40" s="326">
        <f t="shared" si="48"/>
        <v>0</v>
      </c>
      <c r="N40" s="295"/>
      <c r="O40" s="295"/>
    </row>
    <row r="41" spans="1:15" x14ac:dyDescent="0.2">
      <c r="A41" s="299" t="str">
        <f>MID(C41,1,1)</f>
        <v>2</v>
      </c>
      <c r="B41" s="299" t="str">
        <f t="shared" si="43"/>
        <v>23</v>
      </c>
      <c r="C41" s="299">
        <v>2333</v>
      </c>
      <c r="D41" s="226" t="s">
        <v>224</v>
      </c>
      <c r="E41" s="298">
        <f t="shared" si="44"/>
        <v>5873</v>
      </c>
      <c r="F41" s="300">
        <v>5133</v>
      </c>
      <c r="G41" s="300">
        <v>740</v>
      </c>
      <c r="H41" s="300">
        <f t="shared" si="45"/>
        <v>2654</v>
      </c>
      <c r="I41" s="300"/>
      <c r="J41" s="300">
        <v>2654</v>
      </c>
      <c r="K41" s="342">
        <f t="shared" si="49"/>
        <v>8527</v>
      </c>
      <c r="L41" s="298">
        <f t="shared" si="47"/>
        <v>5133</v>
      </c>
      <c r="M41" s="326">
        <f t="shared" si="48"/>
        <v>3394</v>
      </c>
      <c r="N41" s="295"/>
      <c r="O41" s="295"/>
    </row>
    <row r="42" spans="1:15" x14ac:dyDescent="0.2">
      <c r="A42" s="299">
        <v>2</v>
      </c>
      <c r="B42" s="299" t="str">
        <f t="shared" si="43"/>
        <v>23</v>
      </c>
      <c r="C42" s="299">
        <v>2341</v>
      </c>
      <c r="D42" s="226" t="s">
        <v>335</v>
      </c>
      <c r="E42" s="298">
        <f>+F42+G42</f>
        <v>0</v>
      </c>
      <c r="F42" s="300"/>
      <c r="G42" s="300"/>
      <c r="H42" s="300">
        <f t="shared" si="45"/>
        <v>700</v>
      </c>
      <c r="I42" s="300"/>
      <c r="J42" s="300">
        <v>700</v>
      </c>
      <c r="K42" s="342">
        <f t="shared" si="49"/>
        <v>700</v>
      </c>
      <c r="L42" s="298">
        <f t="shared" si="47"/>
        <v>0</v>
      </c>
      <c r="M42" s="326">
        <f t="shared" si="48"/>
        <v>700</v>
      </c>
      <c r="N42" s="295"/>
      <c r="O42" s="295"/>
    </row>
    <row r="43" spans="1:15" x14ac:dyDescent="0.2">
      <c r="A43" s="301" t="s">
        <v>153</v>
      </c>
      <c r="B43" s="301"/>
      <c r="C43" s="302"/>
      <c r="D43" s="332"/>
      <c r="E43" s="341">
        <f t="shared" ref="E43:M43" si="50">SUM(E37:E42)</f>
        <v>11405</v>
      </c>
      <c r="F43" s="303">
        <f t="shared" si="50"/>
        <v>9583</v>
      </c>
      <c r="G43" s="304">
        <f t="shared" si="50"/>
        <v>1822</v>
      </c>
      <c r="H43" s="303">
        <f t="shared" si="50"/>
        <v>964362</v>
      </c>
      <c r="I43" s="303">
        <f t="shared" si="50"/>
        <v>959498</v>
      </c>
      <c r="J43" s="303">
        <f t="shared" si="50"/>
        <v>4864</v>
      </c>
      <c r="K43" s="341">
        <f t="shared" si="50"/>
        <v>975767</v>
      </c>
      <c r="L43" s="303">
        <f t="shared" si="50"/>
        <v>969081</v>
      </c>
      <c r="M43" s="303">
        <f t="shared" si="50"/>
        <v>6686</v>
      </c>
      <c r="N43" s="295"/>
      <c r="O43" s="295"/>
    </row>
    <row r="44" spans="1:15" ht="8.25" customHeight="1" x14ac:dyDescent="0.2">
      <c r="A44" s="315"/>
      <c r="B44" s="315"/>
      <c r="C44" s="316"/>
      <c r="D44" s="339"/>
      <c r="E44" s="353"/>
      <c r="F44" s="317"/>
      <c r="G44" s="354"/>
      <c r="H44" s="317"/>
      <c r="I44" s="317"/>
      <c r="J44" s="317"/>
      <c r="K44" s="353"/>
      <c r="L44" s="317"/>
      <c r="M44" s="354"/>
      <c r="N44" s="295"/>
      <c r="O44" s="295"/>
    </row>
    <row r="45" spans="1:15" x14ac:dyDescent="0.2">
      <c r="A45" s="299">
        <v>2</v>
      </c>
      <c r="B45" s="299" t="str">
        <f>MID(C45,1,2)</f>
        <v>24</v>
      </c>
      <c r="C45" s="299">
        <v>2419</v>
      </c>
      <c r="D45" s="226" t="s">
        <v>317</v>
      </c>
      <c r="E45" s="300">
        <f>+F45+G45</f>
        <v>14</v>
      </c>
      <c r="F45" s="300"/>
      <c r="G45" s="300">
        <v>14</v>
      </c>
      <c r="H45" s="300">
        <f t="shared" ref="H45" si="51">+I45+J45</f>
        <v>0</v>
      </c>
      <c r="I45" s="300"/>
      <c r="J45" s="300"/>
      <c r="K45" s="352">
        <f t="shared" ref="K45" si="52">+L45+M45</f>
        <v>14</v>
      </c>
      <c r="L45" s="300">
        <f t="shared" ref="L45" si="53">+F45+I45</f>
        <v>0</v>
      </c>
      <c r="M45" s="328">
        <f t="shared" ref="M45" si="54">+G45+J45</f>
        <v>14</v>
      </c>
      <c r="N45" s="295"/>
      <c r="O45" s="295"/>
    </row>
    <row r="46" spans="1:15" x14ac:dyDescent="0.2">
      <c r="A46" s="301" t="s">
        <v>316</v>
      </c>
      <c r="B46" s="301"/>
      <c r="C46" s="302"/>
      <c r="D46" s="332"/>
      <c r="E46" s="303">
        <f>SUM(E45:E45)</f>
        <v>14</v>
      </c>
      <c r="F46" s="303">
        <f t="shared" ref="F46:M46" si="55">SUM(F45:F45)</f>
        <v>0</v>
      </c>
      <c r="G46" s="303">
        <f t="shared" si="55"/>
        <v>14</v>
      </c>
      <c r="H46" s="303">
        <f t="shared" si="55"/>
        <v>0</v>
      </c>
      <c r="I46" s="303">
        <f t="shared" si="55"/>
        <v>0</v>
      </c>
      <c r="J46" s="303">
        <f t="shared" si="55"/>
        <v>0</v>
      </c>
      <c r="K46" s="341">
        <f t="shared" si="55"/>
        <v>14</v>
      </c>
      <c r="L46" s="303">
        <f t="shared" si="55"/>
        <v>0</v>
      </c>
      <c r="M46" s="304">
        <f t="shared" si="55"/>
        <v>14</v>
      </c>
      <c r="N46" s="295"/>
      <c r="O46" s="295"/>
    </row>
    <row r="47" spans="1:15" ht="10.5" customHeight="1" thickBot="1" x14ac:dyDescent="0.25">
      <c r="A47" s="306"/>
      <c r="B47" s="305"/>
      <c r="C47" s="306"/>
      <c r="D47" s="333"/>
      <c r="E47" s="307"/>
      <c r="F47" s="307"/>
      <c r="G47" s="307"/>
      <c r="H47" s="307"/>
      <c r="I47" s="307"/>
      <c r="J47" s="307"/>
      <c r="K47" s="343"/>
      <c r="L47" s="307"/>
      <c r="M47" s="344"/>
      <c r="N47" s="295"/>
      <c r="O47" s="295"/>
    </row>
    <row r="48" spans="1:15" ht="14.25" thickTop="1" thickBot="1" x14ac:dyDescent="0.25">
      <c r="A48" s="337" t="s">
        <v>154</v>
      </c>
      <c r="B48" s="313"/>
      <c r="C48" s="313"/>
      <c r="D48" s="338"/>
      <c r="E48" s="314">
        <f t="shared" ref="E48:M48" si="56">+E22+E35+E43+E46</f>
        <v>3970627</v>
      </c>
      <c r="F48" s="314">
        <f t="shared" si="56"/>
        <v>3686591</v>
      </c>
      <c r="G48" s="314">
        <f t="shared" si="56"/>
        <v>284036</v>
      </c>
      <c r="H48" s="314">
        <f t="shared" si="56"/>
        <v>2520107</v>
      </c>
      <c r="I48" s="314">
        <f t="shared" si="56"/>
        <v>2463647</v>
      </c>
      <c r="J48" s="314">
        <f t="shared" si="56"/>
        <v>56460</v>
      </c>
      <c r="K48" s="350">
        <f t="shared" si="56"/>
        <v>6490734</v>
      </c>
      <c r="L48" s="314">
        <f t="shared" si="56"/>
        <v>6150238</v>
      </c>
      <c r="M48" s="351">
        <f t="shared" si="56"/>
        <v>340496</v>
      </c>
      <c r="N48" s="295"/>
      <c r="O48" s="295"/>
    </row>
    <row r="49" spans="1:15" ht="13.5" thickTop="1" x14ac:dyDescent="0.2">
      <c r="A49" s="335"/>
      <c r="B49" s="297"/>
      <c r="C49" s="297"/>
      <c r="D49" s="331"/>
      <c r="E49" s="310"/>
      <c r="F49" s="310"/>
      <c r="G49" s="310"/>
      <c r="H49" s="310"/>
      <c r="I49" s="310"/>
      <c r="J49" s="310"/>
      <c r="K49" s="347"/>
      <c r="L49" s="310"/>
      <c r="M49" s="348"/>
      <c r="N49" s="295"/>
      <c r="O49" s="295"/>
    </row>
    <row r="50" spans="1:15" x14ac:dyDescent="0.2">
      <c r="A50" s="297">
        <v>3</v>
      </c>
      <c r="B50" s="297">
        <v>31</v>
      </c>
      <c r="C50" s="297">
        <v>3111</v>
      </c>
      <c r="D50" s="331" t="s">
        <v>155</v>
      </c>
      <c r="E50" s="298">
        <f t="shared" ref="E50:E59" si="57">+F50+G50</f>
        <v>173928</v>
      </c>
      <c r="F50" s="298">
        <v>5117</v>
      </c>
      <c r="G50" s="298">
        <v>168811</v>
      </c>
      <c r="H50" s="300">
        <f t="shared" ref="H50:H59" si="58">+I50+J50</f>
        <v>177890</v>
      </c>
      <c r="I50" s="298">
        <v>80092</v>
      </c>
      <c r="J50" s="298">
        <v>97798</v>
      </c>
      <c r="K50" s="342">
        <f t="shared" ref="K50" si="59">+L50+M50</f>
        <v>351818</v>
      </c>
      <c r="L50" s="298">
        <f t="shared" ref="L50:L58" si="60">+F50+I50</f>
        <v>85209</v>
      </c>
      <c r="M50" s="326">
        <f t="shared" ref="M50:M58" si="61">+G50+J50</f>
        <v>266609</v>
      </c>
      <c r="N50" s="295"/>
      <c r="O50" s="295"/>
    </row>
    <row r="51" spans="1:15" x14ac:dyDescent="0.2">
      <c r="A51" s="299" t="str">
        <f>MID(C51,1,1)</f>
        <v>3</v>
      </c>
      <c r="B51" s="299" t="str">
        <f>MID(C51,1,2)</f>
        <v>31</v>
      </c>
      <c r="C51" s="299">
        <v>3113</v>
      </c>
      <c r="D51" s="226" t="s">
        <v>225</v>
      </c>
      <c r="E51" s="298">
        <f t="shared" si="57"/>
        <v>440805</v>
      </c>
      <c r="F51" s="300">
        <v>39619</v>
      </c>
      <c r="G51" s="300">
        <v>401186</v>
      </c>
      <c r="H51" s="300">
        <f t="shared" si="58"/>
        <v>224770</v>
      </c>
      <c r="I51" s="300">
        <v>21050</v>
      </c>
      <c r="J51" s="300">
        <v>203720</v>
      </c>
      <c r="K51" s="342">
        <f t="shared" ref="K51:K59" si="62">+L51+M51</f>
        <v>665575</v>
      </c>
      <c r="L51" s="298">
        <f t="shared" si="60"/>
        <v>60669</v>
      </c>
      <c r="M51" s="326">
        <f t="shared" si="61"/>
        <v>604906</v>
      </c>
      <c r="N51" s="295"/>
      <c r="O51" s="295"/>
    </row>
    <row r="52" spans="1:15" x14ac:dyDescent="0.2">
      <c r="A52" s="299">
        <v>3</v>
      </c>
      <c r="B52" s="299">
        <v>31</v>
      </c>
      <c r="C52" s="299">
        <v>3114</v>
      </c>
      <c r="D52" s="226" t="s">
        <v>421</v>
      </c>
      <c r="E52" s="298">
        <f t="shared" si="57"/>
        <v>5</v>
      </c>
      <c r="F52" s="300"/>
      <c r="G52" s="300">
        <v>5</v>
      </c>
      <c r="H52" s="300">
        <f t="shared" si="58"/>
        <v>0</v>
      </c>
      <c r="I52" s="300"/>
      <c r="J52" s="300"/>
      <c r="K52" s="342">
        <f>+L52+M52</f>
        <v>5</v>
      </c>
      <c r="L52" s="298">
        <f t="shared" si="60"/>
        <v>0</v>
      </c>
      <c r="M52" s="326">
        <f t="shared" si="61"/>
        <v>5</v>
      </c>
      <c r="N52" s="295"/>
      <c r="O52" s="295"/>
    </row>
    <row r="53" spans="1:15" x14ac:dyDescent="0.2">
      <c r="A53" s="299">
        <v>3</v>
      </c>
      <c r="B53" s="299">
        <v>31</v>
      </c>
      <c r="C53" s="299">
        <v>3117</v>
      </c>
      <c r="D53" s="226" t="s">
        <v>226</v>
      </c>
      <c r="E53" s="298">
        <f t="shared" si="57"/>
        <v>164</v>
      </c>
      <c r="F53" s="300">
        <v>164</v>
      </c>
      <c r="G53" s="300"/>
      <c r="H53" s="300">
        <f t="shared" si="58"/>
        <v>0</v>
      </c>
      <c r="I53" s="300"/>
      <c r="J53" s="300"/>
      <c r="K53" s="342">
        <f t="shared" si="62"/>
        <v>164</v>
      </c>
      <c r="L53" s="298">
        <f t="shared" si="60"/>
        <v>164</v>
      </c>
      <c r="M53" s="326">
        <f t="shared" si="61"/>
        <v>0</v>
      </c>
      <c r="N53" s="295"/>
      <c r="O53" s="295"/>
    </row>
    <row r="54" spans="1:15" x14ac:dyDescent="0.2">
      <c r="A54" s="299">
        <v>3</v>
      </c>
      <c r="B54" s="299">
        <v>31</v>
      </c>
      <c r="C54" s="299">
        <v>3119</v>
      </c>
      <c r="D54" s="226" t="s">
        <v>332</v>
      </c>
      <c r="E54" s="298">
        <f t="shared" si="57"/>
        <v>6542</v>
      </c>
      <c r="F54" s="300">
        <v>2712</v>
      </c>
      <c r="G54" s="300">
        <v>3830</v>
      </c>
      <c r="H54" s="300">
        <f t="shared" si="58"/>
        <v>800</v>
      </c>
      <c r="I54" s="300"/>
      <c r="J54" s="300">
        <v>800</v>
      </c>
      <c r="K54" s="342">
        <f t="shared" si="62"/>
        <v>7342</v>
      </c>
      <c r="L54" s="298">
        <f t="shared" si="60"/>
        <v>2712</v>
      </c>
      <c r="M54" s="326">
        <f t="shared" si="61"/>
        <v>4630</v>
      </c>
      <c r="N54" s="295"/>
      <c r="O54" s="295"/>
    </row>
    <row r="55" spans="1:15" x14ac:dyDescent="0.2">
      <c r="A55" s="299">
        <v>3</v>
      </c>
      <c r="B55" s="299">
        <v>31</v>
      </c>
      <c r="C55" s="299">
        <v>3122</v>
      </c>
      <c r="D55" s="226" t="s">
        <v>399</v>
      </c>
      <c r="E55" s="298">
        <f t="shared" ref="E55" si="63">+F55+G55</f>
        <v>6287</v>
      </c>
      <c r="F55" s="300">
        <v>6287</v>
      </c>
      <c r="G55" s="300"/>
      <c r="H55" s="300">
        <f t="shared" ref="H55" si="64">+I55+J55</f>
        <v>1325</v>
      </c>
      <c r="I55" s="300">
        <v>1325</v>
      </c>
      <c r="J55" s="300"/>
      <c r="K55" s="342">
        <f t="shared" ref="K55" si="65">+L55+M55</f>
        <v>7612</v>
      </c>
      <c r="L55" s="298">
        <f t="shared" si="60"/>
        <v>7612</v>
      </c>
      <c r="M55" s="326">
        <f t="shared" si="61"/>
        <v>0</v>
      </c>
      <c r="N55" s="295"/>
      <c r="O55" s="295"/>
    </row>
    <row r="56" spans="1:15" x14ac:dyDescent="0.2">
      <c r="A56" s="299">
        <v>3</v>
      </c>
      <c r="B56" s="299">
        <v>31</v>
      </c>
      <c r="C56" s="299">
        <v>3123</v>
      </c>
      <c r="D56" s="226" t="s">
        <v>329</v>
      </c>
      <c r="E56" s="298">
        <f t="shared" ref="E56" si="66">+F56+G56</f>
        <v>0</v>
      </c>
      <c r="F56" s="300"/>
      <c r="G56" s="300"/>
      <c r="H56" s="300">
        <f t="shared" ref="H56" si="67">+I56+J56</f>
        <v>1</v>
      </c>
      <c r="I56" s="300"/>
      <c r="J56" s="300">
        <v>1</v>
      </c>
      <c r="K56" s="342">
        <f t="shared" ref="K56" si="68">+L56+M56</f>
        <v>1</v>
      </c>
      <c r="L56" s="298">
        <f t="shared" si="60"/>
        <v>0</v>
      </c>
      <c r="M56" s="326">
        <f t="shared" si="61"/>
        <v>1</v>
      </c>
      <c r="N56" s="295"/>
      <c r="O56" s="295"/>
    </row>
    <row r="57" spans="1:15" x14ac:dyDescent="0.2">
      <c r="A57" s="299">
        <v>3</v>
      </c>
      <c r="B57" s="299">
        <v>31</v>
      </c>
      <c r="C57" s="299">
        <v>3133</v>
      </c>
      <c r="D57" s="226" t="s">
        <v>227</v>
      </c>
      <c r="E57" s="298">
        <f t="shared" si="57"/>
        <v>5</v>
      </c>
      <c r="F57" s="300"/>
      <c r="G57" s="300">
        <v>5</v>
      </c>
      <c r="H57" s="298">
        <f>+I57+J57</f>
        <v>0</v>
      </c>
      <c r="I57" s="300"/>
      <c r="J57" s="300"/>
      <c r="K57" s="342">
        <f t="shared" si="62"/>
        <v>5</v>
      </c>
      <c r="L57" s="298">
        <f t="shared" si="60"/>
        <v>0</v>
      </c>
      <c r="M57" s="326">
        <f t="shared" si="61"/>
        <v>5</v>
      </c>
      <c r="N57" s="295"/>
      <c r="O57" s="295"/>
    </row>
    <row r="58" spans="1:15" x14ac:dyDescent="0.2">
      <c r="A58" s="299">
        <v>3</v>
      </c>
      <c r="B58" s="299">
        <v>31</v>
      </c>
      <c r="C58" s="299">
        <v>3141</v>
      </c>
      <c r="D58" s="226" t="s">
        <v>228</v>
      </c>
      <c r="E58" s="298">
        <f t="shared" si="57"/>
        <v>19986</v>
      </c>
      <c r="F58" s="300"/>
      <c r="G58" s="300">
        <v>19986</v>
      </c>
      <c r="H58" s="300">
        <f t="shared" si="58"/>
        <v>7000</v>
      </c>
      <c r="I58" s="300"/>
      <c r="J58" s="300">
        <v>7000</v>
      </c>
      <c r="K58" s="342">
        <f t="shared" si="62"/>
        <v>26986</v>
      </c>
      <c r="L58" s="298">
        <f t="shared" si="60"/>
        <v>0</v>
      </c>
      <c r="M58" s="326">
        <f t="shared" si="61"/>
        <v>26986</v>
      </c>
      <c r="N58" s="295"/>
      <c r="O58" s="295"/>
    </row>
    <row r="59" spans="1:15" x14ac:dyDescent="0.2">
      <c r="A59" s="299" t="str">
        <f>MID(C59,1,1)</f>
        <v>3</v>
      </c>
      <c r="B59" s="299" t="str">
        <f>MID(C59,1,2)</f>
        <v>31</v>
      </c>
      <c r="C59" s="299">
        <v>3149</v>
      </c>
      <c r="D59" s="226" t="s">
        <v>229</v>
      </c>
      <c r="E59" s="298">
        <f t="shared" si="57"/>
        <v>960</v>
      </c>
      <c r="F59" s="300">
        <v>960</v>
      </c>
      <c r="G59" s="300"/>
      <c r="H59" s="300">
        <f t="shared" si="58"/>
        <v>0</v>
      </c>
      <c r="I59" s="300"/>
      <c r="J59" s="300"/>
      <c r="K59" s="342">
        <f t="shared" si="62"/>
        <v>960</v>
      </c>
      <c r="L59" s="298">
        <f t="shared" ref="L59" si="69">+F59+I59</f>
        <v>960</v>
      </c>
      <c r="M59" s="326">
        <f t="shared" ref="M59" si="70">+G59+J59</f>
        <v>0</v>
      </c>
      <c r="N59" s="295"/>
      <c r="O59" s="295"/>
    </row>
    <row r="60" spans="1:15" x14ac:dyDescent="0.2">
      <c r="A60" s="301" t="s">
        <v>230</v>
      </c>
      <c r="B60" s="301"/>
      <c r="C60" s="302"/>
      <c r="D60" s="332"/>
      <c r="E60" s="303">
        <f t="shared" ref="E60:M60" si="71">SUM(E50:E59)</f>
        <v>648682</v>
      </c>
      <c r="F60" s="303">
        <f t="shared" si="71"/>
        <v>54859</v>
      </c>
      <c r="G60" s="303">
        <f t="shared" si="71"/>
        <v>593823</v>
      </c>
      <c r="H60" s="303">
        <f t="shared" si="71"/>
        <v>411786</v>
      </c>
      <c r="I60" s="303">
        <f t="shared" si="71"/>
        <v>102467</v>
      </c>
      <c r="J60" s="303">
        <f t="shared" si="71"/>
        <v>309319</v>
      </c>
      <c r="K60" s="341">
        <f t="shared" si="71"/>
        <v>1060468</v>
      </c>
      <c r="L60" s="303">
        <f t="shared" si="71"/>
        <v>157326</v>
      </c>
      <c r="M60" s="304">
        <f t="shared" si="71"/>
        <v>903142</v>
      </c>
      <c r="N60" s="295"/>
      <c r="O60" s="295"/>
    </row>
    <row r="61" spans="1:15" x14ac:dyDescent="0.2">
      <c r="A61" s="311"/>
      <c r="B61" s="311"/>
      <c r="C61" s="299"/>
      <c r="D61" s="226"/>
      <c r="E61" s="312"/>
      <c r="F61" s="312"/>
      <c r="G61" s="312"/>
      <c r="H61" s="312"/>
      <c r="I61" s="312"/>
      <c r="J61" s="312"/>
      <c r="K61" s="349"/>
      <c r="L61" s="312"/>
      <c r="M61" s="327"/>
      <c r="N61" s="295"/>
      <c r="O61" s="295"/>
    </row>
    <row r="62" spans="1:15" x14ac:dyDescent="0.2">
      <c r="A62" s="299" t="str">
        <f>MID(C62,1,1)</f>
        <v>3</v>
      </c>
      <c r="B62" s="299">
        <v>32</v>
      </c>
      <c r="C62" s="299">
        <v>3231</v>
      </c>
      <c r="D62" s="226" t="s">
        <v>231</v>
      </c>
      <c r="E62" s="298">
        <f>+F62+G62</f>
        <v>588</v>
      </c>
      <c r="F62" s="300"/>
      <c r="G62" s="300">
        <v>588</v>
      </c>
      <c r="H62" s="300">
        <f t="shared" ref="H62:H64" si="72">+I62+J62</f>
        <v>0</v>
      </c>
      <c r="I62" s="300"/>
      <c r="J62" s="300"/>
      <c r="K62" s="342">
        <f t="shared" ref="K62:K64" si="73">+L62+M62</f>
        <v>588</v>
      </c>
      <c r="L62" s="298">
        <f t="shared" ref="L62" si="74">+F62+I62</f>
        <v>0</v>
      </c>
      <c r="M62" s="326">
        <f t="shared" ref="M62:M64" si="75">+G62+J62</f>
        <v>588</v>
      </c>
      <c r="N62" s="295"/>
      <c r="O62" s="295"/>
    </row>
    <row r="63" spans="1:15" x14ac:dyDescent="0.2">
      <c r="A63" s="299" t="str">
        <f>MID(C63,1,1)</f>
        <v>3</v>
      </c>
      <c r="B63" s="299">
        <v>32</v>
      </c>
      <c r="C63" s="299">
        <v>3233</v>
      </c>
      <c r="D63" s="226" t="s">
        <v>232</v>
      </c>
      <c r="E63" s="298">
        <f>+F63+G63</f>
        <v>7787</v>
      </c>
      <c r="F63" s="300">
        <v>3300</v>
      </c>
      <c r="G63" s="300">
        <v>4487</v>
      </c>
      <c r="H63" s="300">
        <f t="shared" si="72"/>
        <v>12691</v>
      </c>
      <c r="I63" s="300">
        <v>2321</v>
      </c>
      <c r="J63" s="300">
        <v>10370</v>
      </c>
      <c r="K63" s="342">
        <f t="shared" si="73"/>
        <v>20478</v>
      </c>
      <c r="L63" s="298">
        <f t="shared" ref="L63:L64" si="76">+F63+I63</f>
        <v>5621</v>
      </c>
      <c r="M63" s="326">
        <f t="shared" si="75"/>
        <v>14857</v>
      </c>
      <c r="N63" s="295"/>
      <c r="O63" s="295"/>
    </row>
    <row r="64" spans="1:15" x14ac:dyDescent="0.2">
      <c r="A64" s="299" t="str">
        <f>MID(C64,1,1)</f>
        <v>3</v>
      </c>
      <c r="B64" s="299">
        <v>32</v>
      </c>
      <c r="C64" s="299">
        <v>3239</v>
      </c>
      <c r="D64" s="226" t="s">
        <v>422</v>
      </c>
      <c r="E64" s="300">
        <f>+F64+G64</f>
        <v>40</v>
      </c>
      <c r="F64" s="300"/>
      <c r="G64" s="300">
        <v>40</v>
      </c>
      <c r="H64" s="300">
        <f t="shared" si="72"/>
        <v>0</v>
      </c>
      <c r="I64" s="300"/>
      <c r="J64" s="300"/>
      <c r="K64" s="342">
        <f t="shared" si="73"/>
        <v>40</v>
      </c>
      <c r="L64" s="298">
        <f t="shared" si="76"/>
        <v>0</v>
      </c>
      <c r="M64" s="326">
        <f t="shared" si="75"/>
        <v>40</v>
      </c>
      <c r="N64" s="295"/>
      <c r="O64" s="295"/>
    </row>
    <row r="65" spans="1:15" x14ac:dyDescent="0.2">
      <c r="A65" s="301" t="s">
        <v>233</v>
      </c>
      <c r="B65" s="301"/>
      <c r="C65" s="302"/>
      <c r="D65" s="332"/>
      <c r="E65" s="303">
        <f>SUM(E62:E64)</f>
        <v>8415</v>
      </c>
      <c r="F65" s="303">
        <f>SUM(F62:F64)</f>
        <v>3300</v>
      </c>
      <c r="G65" s="303">
        <f>SUM(G62:G64)</f>
        <v>5115</v>
      </c>
      <c r="H65" s="303">
        <f>SUM(H62:H64)</f>
        <v>12691</v>
      </c>
      <c r="I65" s="303">
        <f t="shared" ref="I65:J65" si="77">SUM(I62:I64)</f>
        <v>2321</v>
      </c>
      <c r="J65" s="303">
        <f t="shared" si="77"/>
        <v>10370</v>
      </c>
      <c r="K65" s="341">
        <f>SUM(K62:K64)</f>
        <v>21106</v>
      </c>
      <c r="L65" s="303">
        <f>SUM(L62:L64)</f>
        <v>5621</v>
      </c>
      <c r="M65" s="304">
        <f>SUM(M62:M64)</f>
        <v>15485</v>
      </c>
      <c r="N65" s="295"/>
      <c r="O65" s="295"/>
    </row>
    <row r="66" spans="1:15" x14ac:dyDescent="0.2">
      <c r="A66" s="299"/>
      <c r="B66" s="299"/>
      <c r="C66" s="299"/>
      <c r="D66" s="226"/>
      <c r="E66" s="300"/>
      <c r="F66" s="300"/>
      <c r="G66" s="300"/>
      <c r="H66" s="300"/>
      <c r="I66" s="300"/>
      <c r="J66" s="300"/>
      <c r="K66" s="352"/>
      <c r="L66" s="300"/>
      <c r="M66" s="328"/>
      <c r="N66" s="295"/>
      <c r="O66" s="295"/>
    </row>
    <row r="67" spans="1:15" x14ac:dyDescent="0.2">
      <c r="A67" s="299" t="str">
        <f t="shared" ref="A67:A82" si="78">MID(C67,1,1)</f>
        <v>3</v>
      </c>
      <c r="B67" s="299" t="str">
        <f t="shared" ref="B67:B82" si="79">MID(C67,1,2)</f>
        <v>33</v>
      </c>
      <c r="C67" s="299">
        <v>3311</v>
      </c>
      <c r="D67" s="226" t="s">
        <v>234</v>
      </c>
      <c r="E67" s="298">
        <f t="shared" ref="E67:E82" si="80">+F67+G67</f>
        <v>880282</v>
      </c>
      <c r="F67" s="300">
        <v>880063</v>
      </c>
      <c r="G67" s="300">
        <v>219</v>
      </c>
      <c r="H67" s="300">
        <f t="shared" ref="H67:H82" si="81">+I67+J67</f>
        <v>11947</v>
      </c>
      <c r="I67" s="300">
        <v>11947</v>
      </c>
      <c r="J67" s="300"/>
      <c r="K67" s="342">
        <f t="shared" ref="K67" si="82">+L67+M67</f>
        <v>892229</v>
      </c>
      <c r="L67" s="298">
        <f t="shared" ref="L67" si="83">+F67+I67</f>
        <v>892010</v>
      </c>
      <c r="M67" s="326">
        <f t="shared" ref="M67" si="84">+G67+J67</f>
        <v>219</v>
      </c>
      <c r="N67" s="295"/>
      <c r="O67" s="295"/>
    </row>
    <row r="68" spans="1:15" x14ac:dyDescent="0.2">
      <c r="A68" s="299" t="str">
        <f t="shared" si="78"/>
        <v>3</v>
      </c>
      <c r="B68" s="299" t="str">
        <f t="shared" si="79"/>
        <v>33</v>
      </c>
      <c r="C68" s="299">
        <v>3312</v>
      </c>
      <c r="D68" s="226" t="s">
        <v>159</v>
      </c>
      <c r="E68" s="298">
        <f t="shared" si="80"/>
        <v>154499</v>
      </c>
      <c r="F68" s="300">
        <v>154200</v>
      </c>
      <c r="G68" s="300">
        <v>299</v>
      </c>
      <c r="H68" s="300">
        <f t="shared" si="81"/>
        <v>210784</v>
      </c>
      <c r="I68" s="300">
        <v>210784</v>
      </c>
      <c r="J68" s="300"/>
      <c r="K68" s="342">
        <f t="shared" ref="K68:K82" si="85">+L68+M68</f>
        <v>365283</v>
      </c>
      <c r="L68" s="298">
        <f t="shared" ref="L68:L82" si="86">+F68+I68</f>
        <v>364984</v>
      </c>
      <c r="M68" s="326">
        <f t="shared" ref="M68:M82" si="87">+G68+J68</f>
        <v>299</v>
      </c>
      <c r="N68" s="295"/>
      <c r="O68" s="295"/>
    </row>
    <row r="69" spans="1:15" x14ac:dyDescent="0.2">
      <c r="A69" s="299" t="str">
        <f t="shared" si="78"/>
        <v>3</v>
      </c>
      <c r="B69" s="299" t="str">
        <f t="shared" si="79"/>
        <v>33</v>
      </c>
      <c r="C69" s="299">
        <v>3313</v>
      </c>
      <c r="D69" s="226" t="s">
        <v>235</v>
      </c>
      <c r="E69" s="298">
        <f t="shared" si="80"/>
        <v>9502</v>
      </c>
      <c r="F69" s="300">
        <v>9361</v>
      </c>
      <c r="G69" s="300">
        <v>141</v>
      </c>
      <c r="H69" s="300">
        <f t="shared" si="81"/>
        <v>229</v>
      </c>
      <c r="I69" s="300"/>
      <c r="J69" s="300">
        <v>229</v>
      </c>
      <c r="K69" s="342">
        <f t="shared" si="85"/>
        <v>9731</v>
      </c>
      <c r="L69" s="298">
        <f t="shared" si="86"/>
        <v>9361</v>
      </c>
      <c r="M69" s="326">
        <f t="shared" si="87"/>
        <v>370</v>
      </c>
      <c r="N69" s="295"/>
      <c r="O69" s="295"/>
    </row>
    <row r="70" spans="1:15" x14ac:dyDescent="0.2">
      <c r="A70" s="299" t="str">
        <f t="shared" si="78"/>
        <v>3</v>
      </c>
      <c r="B70" s="299" t="str">
        <f t="shared" si="79"/>
        <v>33</v>
      </c>
      <c r="C70" s="299">
        <v>3314</v>
      </c>
      <c r="D70" s="226" t="s">
        <v>236</v>
      </c>
      <c r="E70" s="298">
        <f t="shared" si="80"/>
        <v>94928</v>
      </c>
      <c r="F70" s="300">
        <v>93769</v>
      </c>
      <c r="G70" s="300">
        <v>1159</v>
      </c>
      <c r="H70" s="300">
        <f t="shared" si="81"/>
        <v>695</v>
      </c>
      <c r="I70" s="300">
        <v>695</v>
      </c>
      <c r="J70" s="300"/>
      <c r="K70" s="342">
        <f t="shared" si="85"/>
        <v>95623</v>
      </c>
      <c r="L70" s="298">
        <f t="shared" si="86"/>
        <v>94464</v>
      </c>
      <c r="M70" s="326">
        <f t="shared" si="87"/>
        <v>1159</v>
      </c>
      <c r="N70" s="295"/>
      <c r="O70" s="295"/>
    </row>
    <row r="71" spans="1:15" x14ac:dyDescent="0.2">
      <c r="A71" s="299" t="str">
        <f t="shared" si="78"/>
        <v>3</v>
      </c>
      <c r="B71" s="299" t="str">
        <f t="shared" si="79"/>
        <v>33</v>
      </c>
      <c r="C71" s="299">
        <v>3315</v>
      </c>
      <c r="D71" s="226" t="s">
        <v>237</v>
      </c>
      <c r="E71" s="298">
        <f t="shared" si="80"/>
        <v>86702</v>
      </c>
      <c r="F71" s="300">
        <v>86682</v>
      </c>
      <c r="G71" s="300">
        <v>20</v>
      </c>
      <c r="H71" s="300">
        <f t="shared" si="81"/>
        <v>29433</v>
      </c>
      <c r="I71" s="300">
        <v>29433</v>
      </c>
      <c r="J71" s="300"/>
      <c r="K71" s="342">
        <f t="shared" si="85"/>
        <v>116135</v>
      </c>
      <c r="L71" s="298">
        <f t="shared" si="86"/>
        <v>116115</v>
      </c>
      <c r="M71" s="326">
        <f t="shared" si="87"/>
        <v>20</v>
      </c>
      <c r="N71" s="295"/>
      <c r="O71" s="295"/>
    </row>
    <row r="72" spans="1:15" x14ac:dyDescent="0.2">
      <c r="A72" s="299" t="str">
        <f t="shared" si="78"/>
        <v>3</v>
      </c>
      <c r="B72" s="299" t="str">
        <f t="shared" si="79"/>
        <v>33</v>
      </c>
      <c r="C72" s="299">
        <v>3316</v>
      </c>
      <c r="D72" s="226" t="s">
        <v>238</v>
      </c>
      <c r="E72" s="298">
        <f t="shared" si="80"/>
        <v>1653</v>
      </c>
      <c r="F72" s="300">
        <v>1653</v>
      </c>
      <c r="G72" s="300"/>
      <c r="H72" s="298">
        <f>+I72+J72</f>
        <v>0</v>
      </c>
      <c r="I72" s="300"/>
      <c r="J72" s="300"/>
      <c r="K72" s="342">
        <f t="shared" si="85"/>
        <v>1653</v>
      </c>
      <c r="L72" s="298">
        <f t="shared" si="86"/>
        <v>1653</v>
      </c>
      <c r="M72" s="326">
        <f t="shared" si="87"/>
        <v>0</v>
      </c>
      <c r="N72" s="295"/>
      <c r="O72" s="295"/>
    </row>
    <row r="73" spans="1:15" x14ac:dyDescent="0.2">
      <c r="A73" s="299" t="str">
        <f t="shared" si="78"/>
        <v>3</v>
      </c>
      <c r="B73" s="299" t="str">
        <f t="shared" si="79"/>
        <v>33</v>
      </c>
      <c r="C73" s="299">
        <v>3317</v>
      </c>
      <c r="D73" s="226" t="s">
        <v>239</v>
      </c>
      <c r="E73" s="298">
        <f t="shared" si="80"/>
        <v>34504</v>
      </c>
      <c r="F73" s="300">
        <v>34494</v>
      </c>
      <c r="G73" s="300">
        <v>10</v>
      </c>
      <c r="H73" s="300">
        <f t="shared" si="81"/>
        <v>1800</v>
      </c>
      <c r="I73" s="300">
        <v>1800</v>
      </c>
      <c r="J73" s="300"/>
      <c r="K73" s="342">
        <f t="shared" si="85"/>
        <v>36304</v>
      </c>
      <c r="L73" s="298">
        <f t="shared" si="86"/>
        <v>36294</v>
      </c>
      <c r="M73" s="326">
        <f t="shared" si="87"/>
        <v>10</v>
      </c>
      <c r="N73" s="295"/>
      <c r="O73" s="295"/>
    </row>
    <row r="74" spans="1:15" x14ac:dyDescent="0.2">
      <c r="A74" s="299" t="str">
        <f t="shared" si="78"/>
        <v>3</v>
      </c>
      <c r="B74" s="299" t="str">
        <f t="shared" si="79"/>
        <v>33</v>
      </c>
      <c r="C74" s="299">
        <v>3319</v>
      </c>
      <c r="D74" s="226" t="s">
        <v>163</v>
      </c>
      <c r="E74" s="298">
        <f t="shared" si="80"/>
        <v>132154</v>
      </c>
      <c r="F74" s="300">
        <v>106762</v>
      </c>
      <c r="G74" s="300">
        <v>25392</v>
      </c>
      <c r="H74" s="300">
        <f t="shared" si="81"/>
        <v>26753</v>
      </c>
      <c r="I74" s="300">
        <v>26453</v>
      </c>
      <c r="J74" s="300">
        <v>300</v>
      </c>
      <c r="K74" s="342">
        <f t="shared" si="85"/>
        <v>158907</v>
      </c>
      <c r="L74" s="298">
        <f t="shared" si="86"/>
        <v>133215</v>
      </c>
      <c r="M74" s="326">
        <f t="shared" si="87"/>
        <v>25692</v>
      </c>
      <c r="N74" s="295"/>
      <c r="O74" s="295"/>
    </row>
    <row r="75" spans="1:15" x14ac:dyDescent="0.2">
      <c r="A75" s="299" t="str">
        <f t="shared" si="78"/>
        <v>3</v>
      </c>
      <c r="B75" s="299" t="str">
        <f t="shared" si="79"/>
        <v>33</v>
      </c>
      <c r="C75" s="299">
        <v>3322</v>
      </c>
      <c r="D75" s="226" t="s">
        <v>240</v>
      </c>
      <c r="E75" s="298">
        <f t="shared" si="80"/>
        <v>20261</v>
      </c>
      <c r="F75" s="300">
        <v>19411</v>
      </c>
      <c r="G75" s="300">
        <v>850</v>
      </c>
      <c r="H75" s="300">
        <f t="shared" si="81"/>
        <v>23748</v>
      </c>
      <c r="I75" s="300">
        <v>23748</v>
      </c>
      <c r="J75" s="300"/>
      <c r="K75" s="342">
        <f t="shared" si="85"/>
        <v>44009</v>
      </c>
      <c r="L75" s="298">
        <f t="shared" si="86"/>
        <v>43159</v>
      </c>
      <c r="M75" s="326">
        <f t="shared" si="87"/>
        <v>850</v>
      </c>
      <c r="N75" s="295"/>
      <c r="O75" s="295"/>
    </row>
    <row r="76" spans="1:15" x14ac:dyDescent="0.2">
      <c r="A76" s="299" t="str">
        <f t="shared" si="78"/>
        <v>3</v>
      </c>
      <c r="B76" s="299" t="str">
        <f t="shared" si="79"/>
        <v>33</v>
      </c>
      <c r="C76" s="299">
        <v>3326</v>
      </c>
      <c r="D76" s="336" t="s">
        <v>423</v>
      </c>
      <c r="E76" s="298">
        <f t="shared" si="80"/>
        <v>2679</v>
      </c>
      <c r="F76" s="300">
        <v>2459</v>
      </c>
      <c r="G76" s="300">
        <v>220</v>
      </c>
      <c r="H76" s="300">
        <f t="shared" si="81"/>
        <v>9108</v>
      </c>
      <c r="I76" s="300">
        <v>8908</v>
      </c>
      <c r="J76" s="300">
        <v>200</v>
      </c>
      <c r="K76" s="342">
        <f t="shared" si="85"/>
        <v>11787</v>
      </c>
      <c r="L76" s="298">
        <f t="shared" si="86"/>
        <v>11367</v>
      </c>
      <c r="M76" s="326">
        <f t="shared" si="87"/>
        <v>420</v>
      </c>
      <c r="N76" s="295"/>
      <c r="O76" s="295"/>
    </row>
    <row r="77" spans="1:15" x14ac:dyDescent="0.2">
      <c r="A77" s="299" t="str">
        <f t="shared" si="78"/>
        <v>3</v>
      </c>
      <c r="B77" s="299" t="str">
        <f t="shared" si="79"/>
        <v>33</v>
      </c>
      <c r="C77" s="299">
        <v>3329</v>
      </c>
      <c r="D77" s="226" t="s">
        <v>241</v>
      </c>
      <c r="E77" s="298">
        <f t="shared" si="80"/>
        <v>315</v>
      </c>
      <c r="F77" s="300">
        <v>200</v>
      </c>
      <c r="G77" s="300">
        <v>115</v>
      </c>
      <c r="H77" s="298">
        <f>+I77+J77</f>
        <v>0</v>
      </c>
      <c r="I77" s="300"/>
      <c r="J77" s="300"/>
      <c r="K77" s="342">
        <f t="shared" si="85"/>
        <v>315</v>
      </c>
      <c r="L77" s="298">
        <f t="shared" si="86"/>
        <v>200</v>
      </c>
      <c r="M77" s="326">
        <f t="shared" si="87"/>
        <v>115</v>
      </c>
      <c r="N77" s="295"/>
      <c r="O77" s="295"/>
    </row>
    <row r="78" spans="1:15" x14ac:dyDescent="0.2">
      <c r="A78" s="299" t="str">
        <f t="shared" si="78"/>
        <v>3</v>
      </c>
      <c r="B78" s="299" t="str">
        <f t="shared" si="79"/>
        <v>33</v>
      </c>
      <c r="C78" s="299">
        <v>3330</v>
      </c>
      <c r="D78" s="336" t="s">
        <v>424</v>
      </c>
      <c r="E78" s="298">
        <f t="shared" si="80"/>
        <v>70</v>
      </c>
      <c r="F78" s="300"/>
      <c r="G78" s="300">
        <v>70</v>
      </c>
      <c r="H78" s="300">
        <f t="shared" si="81"/>
        <v>0</v>
      </c>
      <c r="I78" s="300"/>
      <c r="J78" s="300"/>
      <c r="K78" s="342">
        <f t="shared" si="85"/>
        <v>70</v>
      </c>
      <c r="L78" s="298">
        <f t="shared" si="86"/>
        <v>0</v>
      </c>
      <c r="M78" s="326">
        <f t="shared" si="87"/>
        <v>70</v>
      </c>
      <c r="N78" s="295"/>
      <c r="O78" s="295"/>
    </row>
    <row r="79" spans="1:15" x14ac:dyDescent="0.2">
      <c r="A79" s="299" t="str">
        <f t="shared" si="78"/>
        <v>3</v>
      </c>
      <c r="B79" s="299" t="str">
        <f t="shared" si="79"/>
        <v>33</v>
      </c>
      <c r="C79" s="299">
        <v>3341</v>
      </c>
      <c r="D79" s="226" t="s">
        <v>242</v>
      </c>
      <c r="E79" s="298">
        <f t="shared" si="80"/>
        <v>25</v>
      </c>
      <c r="F79" s="300"/>
      <c r="G79" s="300">
        <v>25</v>
      </c>
      <c r="H79" s="300">
        <f t="shared" si="81"/>
        <v>0</v>
      </c>
      <c r="I79" s="300"/>
      <c r="J79" s="300"/>
      <c r="K79" s="342">
        <f t="shared" si="85"/>
        <v>25</v>
      </c>
      <c r="L79" s="298">
        <f t="shared" si="86"/>
        <v>0</v>
      </c>
      <c r="M79" s="326">
        <f t="shared" si="87"/>
        <v>25</v>
      </c>
      <c r="N79" s="295"/>
      <c r="O79" s="295"/>
    </row>
    <row r="80" spans="1:15" x14ac:dyDescent="0.2">
      <c r="A80" s="299" t="str">
        <f t="shared" si="78"/>
        <v>3</v>
      </c>
      <c r="B80" s="299" t="str">
        <f t="shared" si="79"/>
        <v>33</v>
      </c>
      <c r="C80" s="299">
        <v>3349</v>
      </c>
      <c r="D80" s="226" t="s">
        <v>243</v>
      </c>
      <c r="E80" s="298">
        <f t="shared" si="80"/>
        <v>10947</v>
      </c>
      <c r="F80" s="300"/>
      <c r="G80" s="300">
        <v>10947</v>
      </c>
      <c r="H80" s="300">
        <f t="shared" si="81"/>
        <v>0</v>
      </c>
      <c r="I80" s="300"/>
      <c r="J80" s="300"/>
      <c r="K80" s="342">
        <f t="shared" si="85"/>
        <v>10947</v>
      </c>
      <c r="L80" s="298">
        <f t="shared" si="86"/>
        <v>0</v>
      </c>
      <c r="M80" s="326">
        <f t="shared" si="87"/>
        <v>10947</v>
      </c>
      <c r="N80" s="295"/>
      <c r="O80" s="295"/>
    </row>
    <row r="81" spans="1:15" x14ac:dyDescent="0.2">
      <c r="A81" s="299" t="str">
        <f t="shared" si="78"/>
        <v>3</v>
      </c>
      <c r="B81" s="299" t="str">
        <f t="shared" si="79"/>
        <v>33</v>
      </c>
      <c r="C81" s="299">
        <v>3392</v>
      </c>
      <c r="D81" s="226" t="s">
        <v>166</v>
      </c>
      <c r="E81" s="298">
        <f t="shared" si="80"/>
        <v>46764</v>
      </c>
      <c r="F81" s="300"/>
      <c r="G81" s="300">
        <v>46764</v>
      </c>
      <c r="H81" s="298">
        <f>+I81+J81</f>
        <v>6140</v>
      </c>
      <c r="I81" s="300"/>
      <c r="J81" s="300">
        <v>6140</v>
      </c>
      <c r="K81" s="342">
        <f t="shared" si="85"/>
        <v>52904</v>
      </c>
      <c r="L81" s="298">
        <f t="shared" si="86"/>
        <v>0</v>
      </c>
      <c r="M81" s="326">
        <f t="shared" si="87"/>
        <v>52904</v>
      </c>
      <c r="N81" s="295"/>
      <c r="O81" s="295"/>
    </row>
    <row r="82" spans="1:15" x14ac:dyDescent="0.2">
      <c r="A82" s="299" t="str">
        <f t="shared" si="78"/>
        <v>3</v>
      </c>
      <c r="B82" s="299" t="str">
        <f t="shared" si="79"/>
        <v>33</v>
      </c>
      <c r="C82" s="299">
        <v>3399</v>
      </c>
      <c r="D82" s="226" t="s">
        <v>167</v>
      </c>
      <c r="E82" s="298">
        <f t="shared" si="80"/>
        <v>19172</v>
      </c>
      <c r="F82" s="300"/>
      <c r="G82" s="300">
        <v>19172</v>
      </c>
      <c r="H82" s="300">
        <f t="shared" si="81"/>
        <v>0</v>
      </c>
      <c r="I82" s="300"/>
      <c r="J82" s="300"/>
      <c r="K82" s="342">
        <f t="shared" si="85"/>
        <v>19172</v>
      </c>
      <c r="L82" s="298">
        <f t="shared" si="86"/>
        <v>0</v>
      </c>
      <c r="M82" s="326">
        <f t="shared" si="87"/>
        <v>19172</v>
      </c>
      <c r="N82" s="295"/>
      <c r="O82" s="295"/>
    </row>
    <row r="83" spans="1:15" x14ac:dyDescent="0.2">
      <c r="A83" s="301" t="s">
        <v>168</v>
      </c>
      <c r="B83" s="301"/>
      <c r="C83" s="302"/>
      <c r="D83" s="332"/>
      <c r="E83" s="303">
        <f t="shared" ref="E83:M83" si="88">SUM(E67:E82)</f>
        <v>1494457</v>
      </c>
      <c r="F83" s="303">
        <f t="shared" si="88"/>
        <v>1389054</v>
      </c>
      <c r="G83" s="303">
        <f t="shared" si="88"/>
        <v>105403</v>
      </c>
      <c r="H83" s="303">
        <f t="shared" si="88"/>
        <v>320637</v>
      </c>
      <c r="I83" s="303">
        <f t="shared" si="88"/>
        <v>313768</v>
      </c>
      <c r="J83" s="303">
        <f t="shared" si="88"/>
        <v>6869</v>
      </c>
      <c r="K83" s="341">
        <f t="shared" si="88"/>
        <v>1815094</v>
      </c>
      <c r="L83" s="303">
        <f t="shared" si="88"/>
        <v>1702822</v>
      </c>
      <c r="M83" s="304">
        <f t="shared" si="88"/>
        <v>112272</v>
      </c>
      <c r="N83" s="295"/>
      <c r="O83" s="295"/>
    </row>
    <row r="84" spans="1:15" x14ac:dyDescent="0.2">
      <c r="A84" s="299"/>
      <c r="B84" s="311"/>
      <c r="C84" s="299"/>
      <c r="D84" s="226"/>
      <c r="E84" s="312"/>
      <c r="F84" s="312"/>
      <c r="G84" s="312"/>
      <c r="H84" s="312"/>
      <c r="I84" s="312"/>
      <c r="J84" s="312"/>
      <c r="K84" s="349"/>
      <c r="L84" s="312"/>
      <c r="M84" s="327"/>
      <c r="N84" s="295"/>
      <c r="O84" s="295"/>
    </row>
    <row r="85" spans="1:15" x14ac:dyDescent="0.2">
      <c r="A85" s="299">
        <v>3</v>
      </c>
      <c r="B85" s="299">
        <v>34</v>
      </c>
      <c r="C85" s="299">
        <v>3412</v>
      </c>
      <c r="D85" s="226" t="s">
        <v>417</v>
      </c>
      <c r="E85" s="298">
        <f>+F85+G85</f>
        <v>74588</v>
      </c>
      <c r="F85" s="300">
        <v>36131</v>
      </c>
      <c r="G85" s="300">
        <v>38457</v>
      </c>
      <c r="H85" s="300">
        <f t="shared" ref="H85:H88" si="89">+I85+J85</f>
        <v>442652</v>
      </c>
      <c r="I85" s="300">
        <v>398473</v>
      </c>
      <c r="J85" s="300">
        <v>44179</v>
      </c>
      <c r="K85" s="342">
        <f t="shared" ref="K85:K88" si="90">+L85+M85</f>
        <v>517240</v>
      </c>
      <c r="L85" s="298">
        <f t="shared" ref="L85:L88" si="91">+F85+I85</f>
        <v>434604</v>
      </c>
      <c r="M85" s="326">
        <f t="shared" ref="M85:M88" si="92">+G85+J85</f>
        <v>82636</v>
      </c>
      <c r="N85" s="295"/>
      <c r="O85" s="295"/>
    </row>
    <row r="86" spans="1:15" x14ac:dyDescent="0.2">
      <c r="A86" s="299" t="str">
        <f>MID(C86,1,1)</f>
        <v>3</v>
      </c>
      <c r="B86" s="299" t="str">
        <f>MID(C86,1,2)</f>
        <v>34</v>
      </c>
      <c r="C86" s="299">
        <v>3419</v>
      </c>
      <c r="D86" s="226" t="s">
        <v>333</v>
      </c>
      <c r="E86" s="298">
        <f>+F86+G86</f>
        <v>534954</v>
      </c>
      <c r="F86" s="300">
        <v>527319</v>
      </c>
      <c r="G86" s="300">
        <v>7635</v>
      </c>
      <c r="H86" s="300">
        <f t="shared" si="89"/>
        <v>305385</v>
      </c>
      <c r="I86" s="300">
        <v>305000</v>
      </c>
      <c r="J86" s="300">
        <v>385</v>
      </c>
      <c r="K86" s="342">
        <f t="shared" si="90"/>
        <v>840339</v>
      </c>
      <c r="L86" s="298">
        <f t="shared" si="91"/>
        <v>832319</v>
      </c>
      <c r="M86" s="326">
        <f t="shared" si="92"/>
        <v>8020</v>
      </c>
      <c r="N86" s="295"/>
      <c r="O86" s="295"/>
    </row>
    <row r="87" spans="1:15" x14ac:dyDescent="0.2">
      <c r="A87" s="299" t="str">
        <f>MID(C87,1,1)</f>
        <v>3</v>
      </c>
      <c r="B87" s="299" t="str">
        <f>MID(C87,1,2)</f>
        <v>34</v>
      </c>
      <c r="C87" s="299">
        <v>3421</v>
      </c>
      <c r="D87" s="226" t="s">
        <v>169</v>
      </c>
      <c r="E87" s="298">
        <f>+F87+G87</f>
        <v>28254</v>
      </c>
      <c r="F87" s="300">
        <v>16897</v>
      </c>
      <c r="G87" s="300">
        <v>11357</v>
      </c>
      <c r="H87" s="300">
        <f t="shared" si="89"/>
        <v>14862</v>
      </c>
      <c r="I87" s="300">
        <v>6506</v>
      </c>
      <c r="J87" s="300">
        <v>8356</v>
      </c>
      <c r="K87" s="342">
        <f t="shared" si="90"/>
        <v>43116</v>
      </c>
      <c r="L87" s="298">
        <f t="shared" si="91"/>
        <v>23403</v>
      </c>
      <c r="M87" s="326">
        <f t="shared" si="92"/>
        <v>19713</v>
      </c>
      <c r="N87" s="295"/>
      <c r="O87" s="295"/>
    </row>
    <row r="88" spans="1:15" x14ac:dyDescent="0.2">
      <c r="A88" s="299" t="str">
        <f>MID(C88,1,1)</f>
        <v>3</v>
      </c>
      <c r="B88" s="299" t="str">
        <f>MID(C88,1,2)</f>
        <v>34</v>
      </c>
      <c r="C88" s="299">
        <v>3429</v>
      </c>
      <c r="D88" s="226" t="s">
        <v>170</v>
      </c>
      <c r="E88" s="298">
        <f>+F88+G88</f>
        <v>7127</v>
      </c>
      <c r="F88" s="300">
        <v>2209</v>
      </c>
      <c r="G88" s="300">
        <v>4918</v>
      </c>
      <c r="H88" s="300">
        <f t="shared" si="89"/>
        <v>4619</v>
      </c>
      <c r="I88" s="300">
        <v>3519</v>
      </c>
      <c r="J88" s="300">
        <v>1100</v>
      </c>
      <c r="K88" s="342">
        <f t="shared" si="90"/>
        <v>11746</v>
      </c>
      <c r="L88" s="298">
        <f t="shared" si="91"/>
        <v>5728</v>
      </c>
      <c r="M88" s="326">
        <f t="shared" si="92"/>
        <v>6018</v>
      </c>
      <c r="N88" s="295"/>
      <c r="O88" s="295"/>
    </row>
    <row r="89" spans="1:15" x14ac:dyDescent="0.2">
      <c r="A89" s="301" t="s">
        <v>409</v>
      </c>
      <c r="B89" s="301"/>
      <c r="C89" s="302"/>
      <c r="D89" s="332"/>
      <c r="E89" s="303">
        <f t="shared" ref="E89:M89" si="93">SUM(E85:E88)</f>
        <v>644923</v>
      </c>
      <c r="F89" s="303">
        <f t="shared" si="93"/>
        <v>582556</v>
      </c>
      <c r="G89" s="303">
        <f t="shared" si="93"/>
        <v>62367</v>
      </c>
      <c r="H89" s="303">
        <f t="shared" si="93"/>
        <v>767518</v>
      </c>
      <c r="I89" s="303">
        <f t="shared" si="93"/>
        <v>713498</v>
      </c>
      <c r="J89" s="303">
        <f>SUM(J85:J88)</f>
        <v>54020</v>
      </c>
      <c r="K89" s="341">
        <f t="shared" si="93"/>
        <v>1412441</v>
      </c>
      <c r="L89" s="303">
        <f t="shared" si="93"/>
        <v>1296054</v>
      </c>
      <c r="M89" s="304">
        <f t="shared" si="93"/>
        <v>116387</v>
      </c>
      <c r="N89" s="295"/>
      <c r="O89" s="295"/>
    </row>
    <row r="90" spans="1:15" ht="13.7" customHeight="1" x14ac:dyDescent="0.2">
      <c r="A90" s="299"/>
      <c r="B90" s="311"/>
      <c r="C90" s="299"/>
      <c r="D90" s="226"/>
      <c r="E90" s="312"/>
      <c r="F90" s="312"/>
      <c r="G90" s="312"/>
      <c r="H90" s="312"/>
      <c r="I90" s="312"/>
      <c r="J90" s="312"/>
      <c r="K90" s="349"/>
      <c r="L90" s="312"/>
      <c r="M90" s="327"/>
      <c r="N90" s="295"/>
      <c r="O90" s="295"/>
    </row>
    <row r="91" spans="1:15" x14ac:dyDescent="0.2">
      <c r="A91" s="299" t="str">
        <f t="shared" ref="A91:A100" si="94">MID(C91,1,1)</f>
        <v>3</v>
      </c>
      <c r="B91" s="299" t="str">
        <f t="shared" ref="B91:B100" si="95">MID(C91,1,2)</f>
        <v>35</v>
      </c>
      <c r="C91" s="299">
        <v>3511</v>
      </c>
      <c r="D91" s="226" t="s">
        <v>244</v>
      </c>
      <c r="E91" s="298">
        <f t="shared" ref="E91:E100" si="96">+F91+G91</f>
        <v>20323</v>
      </c>
      <c r="F91" s="300">
        <v>8922</v>
      </c>
      <c r="G91" s="300">
        <v>11401</v>
      </c>
      <c r="H91" s="300">
        <f t="shared" ref="H91:H98" si="97">+I91+J91</f>
        <v>21300</v>
      </c>
      <c r="I91" s="300">
        <v>12000</v>
      </c>
      <c r="J91" s="300">
        <v>9300</v>
      </c>
      <c r="K91" s="342">
        <f t="shared" ref="K91" si="98">+L91+M91</f>
        <v>41623</v>
      </c>
      <c r="L91" s="298">
        <f t="shared" ref="L91:L99" si="99">+F91+I91</f>
        <v>20922</v>
      </c>
      <c r="M91" s="326">
        <f t="shared" ref="M91:M99" si="100">+G91+J91</f>
        <v>20701</v>
      </c>
      <c r="N91" s="295"/>
      <c r="O91" s="295"/>
    </row>
    <row r="92" spans="1:15" x14ac:dyDescent="0.2">
      <c r="A92" s="299" t="str">
        <f>MID(C92,1,1)</f>
        <v>3</v>
      </c>
      <c r="B92" s="299" t="str">
        <f>MID(C92,1,2)</f>
        <v>35</v>
      </c>
      <c r="C92" s="299">
        <v>3522</v>
      </c>
      <c r="D92" s="226" t="s">
        <v>245</v>
      </c>
      <c r="E92" s="298">
        <f t="shared" si="96"/>
        <v>119583</v>
      </c>
      <c r="F92" s="300">
        <v>119583</v>
      </c>
      <c r="G92" s="300"/>
      <c r="H92" s="300">
        <f t="shared" si="97"/>
        <v>37771</v>
      </c>
      <c r="I92" s="300">
        <v>37771</v>
      </c>
      <c r="J92" s="300"/>
      <c r="K92" s="342">
        <f t="shared" ref="K92:K100" si="101">+L92+M92</f>
        <v>157354</v>
      </c>
      <c r="L92" s="298">
        <f t="shared" si="99"/>
        <v>157354</v>
      </c>
      <c r="M92" s="326">
        <f t="shared" si="100"/>
        <v>0</v>
      </c>
      <c r="N92" s="295"/>
      <c r="O92" s="295"/>
    </row>
    <row r="93" spans="1:15" x14ac:dyDescent="0.2">
      <c r="A93" s="299" t="str">
        <f t="shared" si="94"/>
        <v>3</v>
      </c>
      <c r="B93" s="299" t="str">
        <f t="shared" si="95"/>
        <v>35</v>
      </c>
      <c r="C93" s="299">
        <v>3523</v>
      </c>
      <c r="D93" s="226" t="s">
        <v>246</v>
      </c>
      <c r="E93" s="298">
        <f t="shared" si="96"/>
        <v>19385</v>
      </c>
      <c r="F93" s="300">
        <v>19385</v>
      </c>
      <c r="G93" s="300"/>
      <c r="H93" s="300">
        <f t="shared" si="97"/>
        <v>0</v>
      </c>
      <c r="I93" s="300"/>
      <c r="J93" s="300"/>
      <c r="K93" s="342">
        <f t="shared" si="101"/>
        <v>19385</v>
      </c>
      <c r="L93" s="298">
        <f t="shared" si="99"/>
        <v>19385</v>
      </c>
      <c r="M93" s="326">
        <f t="shared" si="100"/>
        <v>0</v>
      </c>
      <c r="N93" s="295"/>
      <c r="O93" s="295"/>
    </row>
    <row r="94" spans="1:15" x14ac:dyDescent="0.2">
      <c r="A94" s="299" t="str">
        <f t="shared" ref="A94" si="102">MID(C94,1,1)</f>
        <v>3</v>
      </c>
      <c r="B94" s="299" t="str">
        <f t="shared" ref="B94" si="103">MID(C94,1,2)</f>
        <v>35</v>
      </c>
      <c r="C94" s="299">
        <v>3525</v>
      </c>
      <c r="D94" s="226" t="s">
        <v>448</v>
      </c>
      <c r="E94" s="298">
        <f t="shared" si="96"/>
        <v>2950</v>
      </c>
      <c r="F94" s="300">
        <v>2950</v>
      </c>
      <c r="G94" s="300"/>
      <c r="H94" s="300">
        <f t="shared" si="97"/>
        <v>45000</v>
      </c>
      <c r="I94" s="300">
        <v>45000</v>
      </c>
      <c r="J94" s="300"/>
      <c r="K94" s="342">
        <f t="shared" si="101"/>
        <v>47950</v>
      </c>
      <c r="L94" s="298">
        <f t="shared" si="99"/>
        <v>47950</v>
      </c>
      <c r="M94" s="326"/>
      <c r="N94" s="295"/>
      <c r="O94" s="295"/>
    </row>
    <row r="95" spans="1:15" x14ac:dyDescent="0.2">
      <c r="A95" s="299" t="str">
        <f t="shared" si="94"/>
        <v>3</v>
      </c>
      <c r="B95" s="299" t="str">
        <f t="shared" si="95"/>
        <v>35</v>
      </c>
      <c r="C95" s="299">
        <v>3529</v>
      </c>
      <c r="D95" s="226" t="s">
        <v>172</v>
      </c>
      <c r="E95" s="298">
        <f t="shared" si="96"/>
        <v>55195</v>
      </c>
      <c r="F95" s="300">
        <v>55195</v>
      </c>
      <c r="G95" s="300"/>
      <c r="H95" s="300">
        <f t="shared" si="97"/>
        <v>0</v>
      </c>
      <c r="I95" s="300"/>
      <c r="J95" s="300"/>
      <c r="K95" s="342">
        <f t="shared" si="101"/>
        <v>55195</v>
      </c>
      <c r="L95" s="298">
        <f t="shared" si="99"/>
        <v>55195</v>
      </c>
      <c r="M95" s="326">
        <f t="shared" si="100"/>
        <v>0</v>
      </c>
      <c r="N95" s="295"/>
      <c r="O95" s="295"/>
    </row>
    <row r="96" spans="1:15" ht="12.75" customHeight="1" x14ac:dyDescent="0.2">
      <c r="A96" s="299" t="str">
        <f t="shared" si="94"/>
        <v>3</v>
      </c>
      <c r="B96" s="299" t="str">
        <f t="shared" si="95"/>
        <v>35</v>
      </c>
      <c r="C96" s="299">
        <v>3533</v>
      </c>
      <c r="D96" s="226" t="s">
        <v>325</v>
      </c>
      <c r="E96" s="298">
        <f t="shared" si="96"/>
        <v>0</v>
      </c>
      <c r="F96" s="300"/>
      <c r="G96" s="300"/>
      <c r="H96" s="300">
        <f t="shared" si="97"/>
        <v>4000</v>
      </c>
      <c r="I96" s="300">
        <v>4000</v>
      </c>
      <c r="J96" s="300"/>
      <c r="K96" s="342">
        <f t="shared" si="101"/>
        <v>4000</v>
      </c>
      <c r="L96" s="298">
        <f t="shared" si="99"/>
        <v>4000</v>
      </c>
      <c r="M96" s="326">
        <f t="shared" si="100"/>
        <v>0</v>
      </c>
      <c r="N96" s="295"/>
      <c r="O96" s="295"/>
    </row>
    <row r="97" spans="1:15" x14ac:dyDescent="0.2">
      <c r="A97" s="299" t="str">
        <f t="shared" si="94"/>
        <v>3</v>
      </c>
      <c r="B97" s="299" t="str">
        <f t="shared" si="95"/>
        <v>35</v>
      </c>
      <c r="C97" s="299">
        <v>3541</v>
      </c>
      <c r="D97" s="336" t="s">
        <v>247</v>
      </c>
      <c r="E97" s="298">
        <f t="shared" si="96"/>
        <v>10694</v>
      </c>
      <c r="F97" s="300">
        <v>10694</v>
      </c>
      <c r="G97" s="300"/>
      <c r="H97" s="300">
        <f t="shared" si="97"/>
        <v>0</v>
      </c>
      <c r="I97" s="300"/>
      <c r="J97" s="300"/>
      <c r="K97" s="342">
        <f t="shared" si="101"/>
        <v>10694</v>
      </c>
      <c r="L97" s="298">
        <f t="shared" si="99"/>
        <v>10694</v>
      </c>
      <c r="M97" s="326">
        <f t="shared" si="100"/>
        <v>0</v>
      </c>
      <c r="N97" s="295"/>
      <c r="O97" s="295"/>
    </row>
    <row r="98" spans="1:15" x14ac:dyDescent="0.2">
      <c r="A98" s="299" t="str">
        <f t="shared" si="94"/>
        <v>3</v>
      </c>
      <c r="B98" s="299" t="str">
        <f t="shared" si="95"/>
        <v>35</v>
      </c>
      <c r="C98" s="299">
        <v>3543</v>
      </c>
      <c r="D98" s="226" t="s">
        <v>248</v>
      </c>
      <c r="E98" s="298">
        <f t="shared" si="96"/>
        <v>203</v>
      </c>
      <c r="F98" s="300">
        <v>150</v>
      </c>
      <c r="G98" s="300">
        <v>53</v>
      </c>
      <c r="H98" s="300">
        <f t="shared" si="97"/>
        <v>0</v>
      </c>
      <c r="I98" s="300"/>
      <c r="J98" s="300"/>
      <c r="K98" s="342">
        <f t="shared" si="101"/>
        <v>203</v>
      </c>
      <c r="L98" s="298">
        <f t="shared" si="99"/>
        <v>150</v>
      </c>
      <c r="M98" s="326">
        <f t="shared" si="100"/>
        <v>53</v>
      </c>
      <c r="N98" s="295"/>
      <c r="O98" s="295"/>
    </row>
    <row r="99" spans="1:15" x14ac:dyDescent="0.2">
      <c r="A99" s="299" t="str">
        <f t="shared" ref="A99" si="104">MID(C99,1,1)</f>
        <v>3</v>
      </c>
      <c r="B99" s="299" t="str">
        <f t="shared" ref="B99" si="105">MID(C99,1,2)</f>
        <v>35</v>
      </c>
      <c r="C99" s="299">
        <v>3545</v>
      </c>
      <c r="D99" s="226" t="s">
        <v>356</v>
      </c>
      <c r="E99" s="298">
        <f t="shared" ref="E99" si="106">+F99+G99</f>
        <v>8005</v>
      </c>
      <c r="F99" s="300">
        <v>8005</v>
      </c>
      <c r="G99" s="300"/>
      <c r="H99" s="300">
        <f t="shared" ref="H99" si="107">+I99+J99</f>
        <v>0</v>
      </c>
      <c r="I99" s="300"/>
      <c r="J99" s="300"/>
      <c r="K99" s="342">
        <f t="shared" ref="K99" si="108">+L99+M99</f>
        <v>8005</v>
      </c>
      <c r="L99" s="298">
        <f t="shared" si="99"/>
        <v>8005</v>
      </c>
      <c r="M99" s="326">
        <f t="shared" si="100"/>
        <v>0</v>
      </c>
      <c r="N99" s="295"/>
      <c r="O99" s="295"/>
    </row>
    <row r="100" spans="1:15" x14ac:dyDescent="0.2">
      <c r="A100" s="299" t="str">
        <f t="shared" si="94"/>
        <v>3</v>
      </c>
      <c r="B100" s="299" t="str">
        <f t="shared" si="95"/>
        <v>35</v>
      </c>
      <c r="C100" s="299">
        <v>3599</v>
      </c>
      <c r="D100" s="226" t="s">
        <v>249</v>
      </c>
      <c r="E100" s="298">
        <f t="shared" si="96"/>
        <v>14482</v>
      </c>
      <c r="F100" s="300">
        <v>14438</v>
      </c>
      <c r="G100" s="300">
        <v>44</v>
      </c>
      <c r="H100" s="300">
        <f t="shared" ref="H100" si="109">+I100+J100</f>
        <v>6000</v>
      </c>
      <c r="I100" s="300">
        <v>6000</v>
      </c>
      <c r="J100" s="300"/>
      <c r="K100" s="342">
        <f t="shared" si="101"/>
        <v>20482</v>
      </c>
      <c r="L100" s="298">
        <f t="shared" ref="L100" si="110">+F100+I100</f>
        <v>20438</v>
      </c>
      <c r="M100" s="326">
        <f t="shared" ref="M100" si="111">+G100+J100</f>
        <v>44</v>
      </c>
      <c r="N100" s="295"/>
      <c r="O100" s="295"/>
    </row>
    <row r="101" spans="1:15" x14ac:dyDescent="0.2">
      <c r="A101" s="301" t="s">
        <v>173</v>
      </c>
      <c r="B101" s="301"/>
      <c r="C101" s="302"/>
      <c r="D101" s="332"/>
      <c r="E101" s="303">
        <f t="shared" ref="E101:M101" si="112">SUM(E91:E100)</f>
        <v>250820</v>
      </c>
      <c r="F101" s="303">
        <f t="shared" si="112"/>
        <v>239322</v>
      </c>
      <c r="G101" s="303">
        <f t="shared" si="112"/>
        <v>11498</v>
      </c>
      <c r="H101" s="303">
        <f t="shared" si="112"/>
        <v>114071</v>
      </c>
      <c r="I101" s="303">
        <f t="shared" si="112"/>
        <v>104771</v>
      </c>
      <c r="J101" s="303">
        <f t="shared" si="112"/>
        <v>9300</v>
      </c>
      <c r="K101" s="341">
        <f t="shared" si="112"/>
        <v>364891</v>
      </c>
      <c r="L101" s="303">
        <f t="shared" si="112"/>
        <v>344093</v>
      </c>
      <c r="M101" s="304">
        <f t="shared" si="112"/>
        <v>20798</v>
      </c>
      <c r="N101" s="295"/>
      <c r="O101" s="295"/>
    </row>
    <row r="102" spans="1:15" ht="13.7" customHeight="1" x14ac:dyDescent="0.2">
      <c r="A102" s="299"/>
      <c r="B102" s="311"/>
      <c r="C102" s="299"/>
      <c r="D102" s="226"/>
      <c r="E102" s="312"/>
      <c r="F102" s="312"/>
      <c r="G102" s="312"/>
      <c r="H102" s="312"/>
      <c r="I102" s="312"/>
      <c r="J102" s="312"/>
      <c r="K102" s="349"/>
      <c r="L102" s="312"/>
      <c r="M102" s="327"/>
      <c r="N102" s="295"/>
      <c r="O102" s="295"/>
    </row>
    <row r="103" spans="1:15" x14ac:dyDescent="0.2">
      <c r="A103" s="299" t="str">
        <f t="shared" ref="A103:A113" si="113">MID(C103,1,1)</f>
        <v>3</v>
      </c>
      <c r="B103" s="299" t="str">
        <f t="shared" ref="B103:B113" si="114">MID(C103,1,2)</f>
        <v>36</v>
      </c>
      <c r="C103" s="299">
        <v>3612</v>
      </c>
      <c r="D103" s="226" t="s">
        <v>250</v>
      </c>
      <c r="E103" s="298">
        <f t="shared" ref="E103:E113" si="115">+F103+G103</f>
        <v>144071</v>
      </c>
      <c r="F103" s="300">
        <v>127704</v>
      </c>
      <c r="G103" s="300">
        <v>16367</v>
      </c>
      <c r="H103" s="300">
        <f t="shared" ref="H103:H113" si="116">+I103+J103</f>
        <v>826774</v>
      </c>
      <c r="I103" s="300">
        <v>227000</v>
      </c>
      <c r="J103" s="300">
        <v>599774</v>
      </c>
      <c r="K103" s="342">
        <f t="shared" ref="K103" si="117">+L103+M103</f>
        <v>970845</v>
      </c>
      <c r="L103" s="298">
        <f t="shared" ref="L103:L113" si="118">+F103+I103</f>
        <v>354704</v>
      </c>
      <c r="M103" s="326">
        <f t="shared" ref="M103:M113" si="119">+G103+J103</f>
        <v>616141</v>
      </c>
      <c r="N103" s="295"/>
      <c r="O103" s="295"/>
    </row>
    <row r="104" spans="1:15" x14ac:dyDescent="0.2">
      <c r="A104" s="299" t="str">
        <f>MID(C104,1,1)</f>
        <v>3</v>
      </c>
      <c r="B104" s="299" t="str">
        <f>MID(C104,1,2)</f>
        <v>36</v>
      </c>
      <c r="C104" s="299">
        <v>3613</v>
      </c>
      <c r="D104" s="226" t="s">
        <v>175</v>
      </c>
      <c r="E104" s="298">
        <f t="shared" si="115"/>
        <v>112079</v>
      </c>
      <c r="F104" s="300">
        <v>76675</v>
      </c>
      <c r="G104" s="300">
        <v>35404</v>
      </c>
      <c r="H104" s="300">
        <f t="shared" si="116"/>
        <v>79024</v>
      </c>
      <c r="I104" s="300">
        <v>10621</v>
      </c>
      <c r="J104" s="300">
        <v>68403</v>
      </c>
      <c r="K104" s="342">
        <f t="shared" ref="K104:K113" si="120">+L104+M104</f>
        <v>191103</v>
      </c>
      <c r="L104" s="298">
        <f t="shared" si="118"/>
        <v>87296</v>
      </c>
      <c r="M104" s="326">
        <f t="shared" si="119"/>
        <v>103807</v>
      </c>
      <c r="N104" s="295"/>
      <c r="O104" s="295"/>
    </row>
    <row r="105" spans="1:15" x14ac:dyDescent="0.2">
      <c r="A105" s="299" t="str">
        <f t="shared" si="113"/>
        <v>3</v>
      </c>
      <c r="B105" s="299" t="str">
        <f t="shared" si="114"/>
        <v>36</v>
      </c>
      <c r="C105" s="299">
        <v>3619</v>
      </c>
      <c r="D105" s="226" t="s">
        <v>425</v>
      </c>
      <c r="E105" s="298">
        <f t="shared" si="115"/>
        <v>50</v>
      </c>
      <c r="F105" s="300">
        <v>50</v>
      </c>
      <c r="G105" s="300"/>
      <c r="H105" s="300">
        <f t="shared" si="116"/>
        <v>0</v>
      </c>
      <c r="I105" s="300"/>
      <c r="J105" s="300"/>
      <c r="K105" s="342">
        <f t="shared" si="120"/>
        <v>50</v>
      </c>
      <c r="L105" s="298">
        <f t="shared" si="118"/>
        <v>50</v>
      </c>
      <c r="M105" s="326">
        <f t="shared" si="119"/>
        <v>0</v>
      </c>
      <c r="N105" s="295"/>
      <c r="O105" s="295"/>
    </row>
    <row r="106" spans="1:15" x14ac:dyDescent="0.2">
      <c r="A106" s="299" t="str">
        <f t="shared" si="113"/>
        <v>3</v>
      </c>
      <c r="B106" s="299" t="str">
        <f t="shared" si="114"/>
        <v>36</v>
      </c>
      <c r="C106" s="299">
        <v>3631</v>
      </c>
      <c r="D106" s="226" t="s">
        <v>251</v>
      </c>
      <c r="E106" s="298">
        <f t="shared" si="115"/>
        <v>235227</v>
      </c>
      <c r="F106" s="300">
        <v>234017</v>
      </c>
      <c r="G106" s="300">
        <v>1210</v>
      </c>
      <c r="H106" s="300">
        <f t="shared" si="116"/>
        <v>0</v>
      </c>
      <c r="I106" s="300"/>
      <c r="J106" s="300"/>
      <c r="K106" s="342">
        <f t="shared" si="120"/>
        <v>235227</v>
      </c>
      <c r="L106" s="298">
        <f t="shared" si="118"/>
        <v>234017</v>
      </c>
      <c r="M106" s="326">
        <f t="shared" si="119"/>
        <v>1210</v>
      </c>
      <c r="N106" s="295"/>
      <c r="O106" s="295"/>
    </row>
    <row r="107" spans="1:15" x14ac:dyDescent="0.2">
      <c r="A107" s="299" t="str">
        <f t="shared" si="113"/>
        <v>3</v>
      </c>
      <c r="B107" s="299" t="str">
        <f t="shared" si="114"/>
        <v>36</v>
      </c>
      <c r="C107" s="299">
        <v>3632</v>
      </c>
      <c r="D107" s="226" t="s">
        <v>252</v>
      </c>
      <c r="E107" s="298">
        <f t="shared" si="115"/>
        <v>54213</v>
      </c>
      <c r="F107" s="300">
        <v>51362</v>
      </c>
      <c r="G107" s="300">
        <v>2851</v>
      </c>
      <c r="H107" s="300">
        <f t="shared" si="116"/>
        <v>80299</v>
      </c>
      <c r="I107" s="300">
        <v>80299</v>
      </c>
      <c r="J107" s="300"/>
      <c r="K107" s="342">
        <f t="shared" si="120"/>
        <v>134512</v>
      </c>
      <c r="L107" s="298">
        <f t="shared" si="118"/>
        <v>131661</v>
      </c>
      <c r="M107" s="326">
        <f t="shared" si="119"/>
        <v>2851</v>
      </c>
      <c r="N107" s="295"/>
      <c r="O107" s="295"/>
    </row>
    <row r="108" spans="1:15" x14ac:dyDescent="0.2">
      <c r="A108" s="299" t="str">
        <f t="shared" si="113"/>
        <v>3</v>
      </c>
      <c r="B108" s="299" t="str">
        <f t="shared" si="114"/>
        <v>36</v>
      </c>
      <c r="C108" s="299">
        <v>3633</v>
      </c>
      <c r="D108" s="226" t="s">
        <v>178</v>
      </c>
      <c r="E108" s="298">
        <f t="shared" si="115"/>
        <v>18707</v>
      </c>
      <c r="F108" s="300">
        <v>18668</v>
      </c>
      <c r="G108" s="300">
        <v>39</v>
      </c>
      <c r="H108" s="300">
        <f t="shared" si="116"/>
        <v>7447</v>
      </c>
      <c r="I108" s="300">
        <v>6447</v>
      </c>
      <c r="J108" s="300">
        <v>1000</v>
      </c>
      <c r="K108" s="342">
        <f t="shared" si="120"/>
        <v>26154</v>
      </c>
      <c r="L108" s="298">
        <f t="shared" si="118"/>
        <v>25115</v>
      </c>
      <c r="M108" s="326">
        <f t="shared" si="119"/>
        <v>1039</v>
      </c>
      <c r="N108" s="295"/>
      <c r="O108" s="295"/>
    </row>
    <row r="109" spans="1:15" x14ac:dyDescent="0.2">
      <c r="A109" s="299" t="str">
        <f t="shared" ref="A109" si="121">MID(C109,1,1)</f>
        <v>3</v>
      </c>
      <c r="B109" s="299" t="str">
        <f t="shared" ref="B109" si="122">MID(C109,1,2)</f>
        <v>36</v>
      </c>
      <c r="C109" s="299">
        <v>3634</v>
      </c>
      <c r="D109" s="226" t="s">
        <v>451</v>
      </c>
      <c r="E109" s="298">
        <f t="shared" ref="E109" si="123">+F109+G109</f>
        <v>500</v>
      </c>
      <c r="F109" s="300"/>
      <c r="G109" s="300">
        <v>500</v>
      </c>
      <c r="H109" s="300">
        <f t="shared" ref="H109" si="124">+I109+J109</f>
        <v>5000</v>
      </c>
      <c r="I109" s="300"/>
      <c r="J109" s="300">
        <v>5000</v>
      </c>
      <c r="K109" s="342">
        <f t="shared" ref="K109" si="125">+L109+M109</f>
        <v>5500</v>
      </c>
      <c r="L109" s="298">
        <f t="shared" ref="L109" si="126">+F109+I109</f>
        <v>0</v>
      </c>
      <c r="M109" s="326">
        <f t="shared" ref="M109" si="127">+G109+J109</f>
        <v>5500</v>
      </c>
      <c r="N109" s="295"/>
      <c r="O109" s="295"/>
    </row>
    <row r="110" spans="1:15" x14ac:dyDescent="0.2">
      <c r="A110" s="299" t="str">
        <f t="shared" si="113"/>
        <v>3</v>
      </c>
      <c r="B110" s="299" t="str">
        <f t="shared" si="114"/>
        <v>36</v>
      </c>
      <c r="C110" s="299">
        <v>3635</v>
      </c>
      <c r="D110" s="226" t="s">
        <v>253</v>
      </c>
      <c r="E110" s="298">
        <f t="shared" si="115"/>
        <v>58172</v>
      </c>
      <c r="F110" s="300">
        <v>57972</v>
      </c>
      <c r="G110" s="300">
        <v>200</v>
      </c>
      <c r="H110" s="300">
        <f t="shared" si="116"/>
        <v>20000</v>
      </c>
      <c r="I110" s="300">
        <v>20000</v>
      </c>
      <c r="J110" s="300"/>
      <c r="K110" s="342">
        <f t="shared" si="120"/>
        <v>78172</v>
      </c>
      <c r="L110" s="298">
        <f t="shared" si="118"/>
        <v>77972</v>
      </c>
      <c r="M110" s="326">
        <f t="shared" si="119"/>
        <v>200</v>
      </c>
      <c r="N110" s="295"/>
      <c r="O110" s="295"/>
    </row>
    <row r="111" spans="1:15" x14ac:dyDescent="0.2">
      <c r="A111" s="299" t="str">
        <f t="shared" si="113"/>
        <v>3</v>
      </c>
      <c r="B111" s="299" t="str">
        <f t="shared" si="114"/>
        <v>36</v>
      </c>
      <c r="C111" s="299">
        <v>3636</v>
      </c>
      <c r="D111" s="226" t="s">
        <v>254</v>
      </c>
      <c r="E111" s="298">
        <f t="shared" si="115"/>
        <v>30845</v>
      </c>
      <c r="F111" s="300">
        <v>29210</v>
      </c>
      <c r="G111" s="300">
        <v>1635</v>
      </c>
      <c r="H111" s="300">
        <f t="shared" si="116"/>
        <v>2850</v>
      </c>
      <c r="I111" s="300">
        <v>2850</v>
      </c>
      <c r="J111" s="300"/>
      <c r="K111" s="342">
        <f t="shared" si="120"/>
        <v>33695</v>
      </c>
      <c r="L111" s="298">
        <f t="shared" si="118"/>
        <v>32060</v>
      </c>
      <c r="M111" s="326">
        <f t="shared" si="119"/>
        <v>1635</v>
      </c>
      <c r="N111" s="295"/>
      <c r="O111" s="295"/>
    </row>
    <row r="112" spans="1:15" x14ac:dyDescent="0.2">
      <c r="A112" s="299" t="str">
        <f t="shared" si="113"/>
        <v>3</v>
      </c>
      <c r="B112" s="299" t="str">
        <f t="shared" si="114"/>
        <v>36</v>
      </c>
      <c r="C112" s="299">
        <v>3639</v>
      </c>
      <c r="D112" s="226" t="s">
        <v>255</v>
      </c>
      <c r="E112" s="298">
        <f t="shared" si="115"/>
        <v>164387</v>
      </c>
      <c r="F112" s="300">
        <v>115616</v>
      </c>
      <c r="G112" s="300">
        <v>48771</v>
      </c>
      <c r="H112" s="300">
        <f t="shared" si="116"/>
        <v>498624</v>
      </c>
      <c r="I112" s="300">
        <v>440952</v>
      </c>
      <c r="J112" s="300">
        <v>57672</v>
      </c>
      <c r="K112" s="342">
        <f t="shared" si="120"/>
        <v>663011</v>
      </c>
      <c r="L112" s="298">
        <f t="shared" si="118"/>
        <v>556568</v>
      </c>
      <c r="M112" s="326">
        <f t="shared" si="119"/>
        <v>106443</v>
      </c>
      <c r="N112" s="295"/>
      <c r="O112" s="295"/>
    </row>
    <row r="113" spans="1:15" x14ac:dyDescent="0.2">
      <c r="A113" s="299" t="str">
        <f t="shared" si="113"/>
        <v>3</v>
      </c>
      <c r="B113" s="299" t="str">
        <f t="shared" si="114"/>
        <v>36</v>
      </c>
      <c r="C113" s="299">
        <v>3699</v>
      </c>
      <c r="D113" s="226" t="s">
        <v>436</v>
      </c>
      <c r="E113" s="298">
        <f t="shared" si="115"/>
        <v>1630</v>
      </c>
      <c r="F113" s="300">
        <v>400</v>
      </c>
      <c r="G113" s="300">
        <v>1230</v>
      </c>
      <c r="H113" s="300">
        <f t="shared" si="116"/>
        <v>1000</v>
      </c>
      <c r="I113" s="300"/>
      <c r="J113" s="300">
        <v>1000</v>
      </c>
      <c r="K113" s="342">
        <f t="shared" si="120"/>
        <v>2630</v>
      </c>
      <c r="L113" s="298">
        <f t="shared" si="118"/>
        <v>400</v>
      </c>
      <c r="M113" s="326">
        <f t="shared" si="119"/>
        <v>2230</v>
      </c>
      <c r="N113" s="295"/>
      <c r="O113" s="295"/>
    </row>
    <row r="114" spans="1:15" x14ac:dyDescent="0.2">
      <c r="A114" s="301" t="s">
        <v>180</v>
      </c>
      <c r="B114" s="301"/>
      <c r="C114" s="302"/>
      <c r="D114" s="332"/>
      <c r="E114" s="303">
        <f t="shared" ref="E114:M114" si="128">SUM(E103:E113)</f>
        <v>819881</v>
      </c>
      <c r="F114" s="303">
        <f t="shared" si="128"/>
        <v>711674</v>
      </c>
      <c r="G114" s="303">
        <f t="shared" si="128"/>
        <v>108207</v>
      </c>
      <c r="H114" s="303">
        <f t="shared" si="128"/>
        <v>1521018</v>
      </c>
      <c r="I114" s="303">
        <f t="shared" si="128"/>
        <v>788169</v>
      </c>
      <c r="J114" s="303">
        <f t="shared" si="128"/>
        <v>732849</v>
      </c>
      <c r="K114" s="341">
        <f t="shared" si="128"/>
        <v>2340899</v>
      </c>
      <c r="L114" s="303">
        <f t="shared" si="128"/>
        <v>1499843</v>
      </c>
      <c r="M114" s="304">
        <f t="shared" si="128"/>
        <v>841056</v>
      </c>
      <c r="N114" s="295"/>
      <c r="O114" s="295"/>
    </row>
    <row r="115" spans="1:15" ht="13.7" customHeight="1" x14ac:dyDescent="0.2">
      <c r="A115" s="299"/>
      <c r="B115" s="311"/>
      <c r="C115" s="299"/>
      <c r="D115" s="226"/>
      <c r="E115" s="312"/>
      <c r="F115" s="312"/>
      <c r="G115" s="312"/>
      <c r="H115" s="312"/>
      <c r="I115" s="312"/>
      <c r="J115" s="312"/>
      <c r="K115" s="349"/>
      <c r="L115" s="312"/>
      <c r="M115" s="327"/>
      <c r="N115" s="295"/>
      <c r="O115" s="295"/>
    </row>
    <row r="116" spans="1:15" x14ac:dyDescent="0.2">
      <c r="A116" s="299" t="str">
        <f t="shared" ref="A116:A129" si="129">MID(C116,1,1)</f>
        <v>3</v>
      </c>
      <c r="B116" s="299" t="str">
        <f t="shared" ref="B116:B129" si="130">MID(C116,1,2)</f>
        <v>37</v>
      </c>
      <c r="C116" s="299">
        <v>3716</v>
      </c>
      <c r="D116" s="226" t="s">
        <v>256</v>
      </c>
      <c r="E116" s="298">
        <f t="shared" ref="E116:E129" si="131">+F116+G116</f>
        <v>3401</v>
      </c>
      <c r="F116" s="300">
        <v>3401</v>
      </c>
      <c r="G116" s="300"/>
      <c r="H116" s="300">
        <f t="shared" ref="H116:H129" si="132">+I116+J116</f>
        <v>0</v>
      </c>
      <c r="I116" s="300"/>
      <c r="J116" s="300"/>
      <c r="K116" s="342">
        <f t="shared" ref="K116" si="133">+L116+M116</f>
        <v>3401</v>
      </c>
      <c r="L116" s="298">
        <f t="shared" ref="L116:L129" si="134">+F116+I116</f>
        <v>3401</v>
      </c>
      <c r="M116" s="326">
        <f t="shared" ref="M116:M129" si="135">+G116+J116</f>
        <v>0</v>
      </c>
      <c r="N116" s="295"/>
      <c r="O116" s="295"/>
    </row>
    <row r="117" spans="1:15" x14ac:dyDescent="0.2">
      <c r="A117" s="299" t="str">
        <f t="shared" ref="A117" si="136">MID(C117,1,1)</f>
        <v>3</v>
      </c>
      <c r="B117" s="299" t="str">
        <f t="shared" ref="B117" si="137">MID(C117,1,2)</f>
        <v>37</v>
      </c>
      <c r="C117" s="299">
        <v>3719</v>
      </c>
      <c r="D117" s="226" t="s">
        <v>314</v>
      </c>
      <c r="E117" s="298">
        <f t="shared" ref="E117" si="138">+F117+G117</f>
        <v>876</v>
      </c>
      <c r="F117" s="300">
        <v>876</v>
      </c>
      <c r="G117" s="300"/>
      <c r="H117" s="300">
        <f t="shared" ref="H117" si="139">+I117+J117</f>
        <v>0</v>
      </c>
      <c r="I117" s="300"/>
      <c r="J117" s="300"/>
      <c r="K117" s="342">
        <f t="shared" ref="K117:K128" si="140">+L117+M117</f>
        <v>876</v>
      </c>
      <c r="L117" s="298">
        <f t="shared" si="134"/>
        <v>876</v>
      </c>
      <c r="M117" s="326">
        <f t="shared" si="135"/>
        <v>0</v>
      </c>
      <c r="N117" s="295"/>
      <c r="O117" s="295"/>
    </row>
    <row r="118" spans="1:15" x14ac:dyDescent="0.2">
      <c r="A118" s="299" t="str">
        <f>MID(C118,1,1)</f>
        <v>3</v>
      </c>
      <c r="B118" s="299" t="str">
        <f>MID(C118,1,2)</f>
        <v>37</v>
      </c>
      <c r="C118" s="299">
        <v>3722</v>
      </c>
      <c r="D118" s="226" t="s">
        <v>257</v>
      </c>
      <c r="E118" s="298">
        <f t="shared" si="131"/>
        <v>219308</v>
      </c>
      <c r="F118" s="300">
        <v>185608</v>
      </c>
      <c r="G118" s="300">
        <v>33700</v>
      </c>
      <c r="H118" s="300">
        <f t="shared" si="132"/>
        <v>10480</v>
      </c>
      <c r="I118" s="300"/>
      <c r="J118" s="300">
        <v>10480</v>
      </c>
      <c r="K118" s="342">
        <f t="shared" si="140"/>
        <v>229788</v>
      </c>
      <c r="L118" s="298">
        <f t="shared" si="134"/>
        <v>185608</v>
      </c>
      <c r="M118" s="326">
        <f t="shared" si="135"/>
        <v>44180</v>
      </c>
      <c r="N118" s="295"/>
      <c r="O118" s="295"/>
    </row>
    <row r="119" spans="1:15" x14ac:dyDescent="0.2">
      <c r="A119" s="299" t="str">
        <f>MID(C119,1,1)</f>
        <v>3</v>
      </c>
      <c r="B119" s="299" t="str">
        <f>MID(C119,1,2)</f>
        <v>37</v>
      </c>
      <c r="C119" s="299">
        <v>3723</v>
      </c>
      <c r="D119" s="336" t="s">
        <v>426</v>
      </c>
      <c r="E119" s="298">
        <f>+F119+G119</f>
        <v>165</v>
      </c>
      <c r="F119" s="300"/>
      <c r="G119" s="300">
        <v>165</v>
      </c>
      <c r="H119" s="300">
        <f t="shared" si="132"/>
        <v>0</v>
      </c>
      <c r="I119" s="300"/>
      <c r="J119" s="300"/>
      <c r="K119" s="342">
        <f t="shared" si="140"/>
        <v>165</v>
      </c>
      <c r="L119" s="298">
        <f t="shared" si="134"/>
        <v>0</v>
      </c>
      <c r="M119" s="326">
        <f t="shared" si="135"/>
        <v>165</v>
      </c>
      <c r="N119" s="295"/>
      <c r="O119" s="295"/>
    </row>
    <row r="120" spans="1:15" x14ac:dyDescent="0.2">
      <c r="A120" s="299" t="str">
        <f>MID(C120,1,1)</f>
        <v>3</v>
      </c>
      <c r="B120" s="299" t="str">
        <f>MID(C120,1,2)</f>
        <v>37</v>
      </c>
      <c r="C120" s="299">
        <v>3725</v>
      </c>
      <c r="D120" s="226" t="s">
        <v>401</v>
      </c>
      <c r="E120" s="298">
        <f t="shared" si="131"/>
        <v>171160</v>
      </c>
      <c r="F120" s="300">
        <v>168038</v>
      </c>
      <c r="G120" s="300">
        <v>3122</v>
      </c>
      <c r="H120" s="300">
        <f t="shared" si="132"/>
        <v>4059</v>
      </c>
      <c r="I120" s="300">
        <v>1259</v>
      </c>
      <c r="J120" s="300">
        <v>2800</v>
      </c>
      <c r="K120" s="342">
        <f t="shared" si="140"/>
        <v>175219</v>
      </c>
      <c r="L120" s="298">
        <f t="shared" si="134"/>
        <v>169297</v>
      </c>
      <c r="M120" s="326">
        <f t="shared" si="135"/>
        <v>5922</v>
      </c>
      <c r="N120" s="295"/>
      <c r="O120" s="295"/>
    </row>
    <row r="121" spans="1:15" x14ac:dyDescent="0.2">
      <c r="A121" s="299" t="str">
        <f t="shared" si="129"/>
        <v>3</v>
      </c>
      <c r="B121" s="299" t="str">
        <f t="shared" si="130"/>
        <v>37</v>
      </c>
      <c r="C121" s="299">
        <v>3729</v>
      </c>
      <c r="D121" s="226" t="s">
        <v>258</v>
      </c>
      <c r="E121" s="298">
        <f t="shared" si="131"/>
        <v>5050</v>
      </c>
      <c r="F121" s="300">
        <v>1300</v>
      </c>
      <c r="G121" s="300">
        <v>3750</v>
      </c>
      <c r="H121" s="298">
        <f>+I121+J121</f>
        <v>0</v>
      </c>
      <c r="I121" s="300"/>
      <c r="J121" s="300"/>
      <c r="K121" s="342">
        <f t="shared" si="140"/>
        <v>5050</v>
      </c>
      <c r="L121" s="298">
        <f t="shared" si="134"/>
        <v>1300</v>
      </c>
      <c r="M121" s="326">
        <f t="shared" si="135"/>
        <v>3750</v>
      </c>
      <c r="N121" s="295"/>
      <c r="O121" s="295"/>
    </row>
    <row r="122" spans="1:15" x14ac:dyDescent="0.2">
      <c r="A122" s="299" t="str">
        <f t="shared" si="129"/>
        <v>3</v>
      </c>
      <c r="B122" s="299" t="str">
        <f t="shared" si="130"/>
        <v>37</v>
      </c>
      <c r="C122" s="299">
        <v>3733</v>
      </c>
      <c r="D122" s="226" t="s">
        <v>259</v>
      </c>
      <c r="E122" s="298">
        <f t="shared" si="131"/>
        <v>642</v>
      </c>
      <c r="F122" s="300">
        <v>642</v>
      </c>
      <c r="G122" s="300"/>
      <c r="H122" s="298">
        <f>+I122+J122</f>
        <v>0</v>
      </c>
      <c r="I122" s="300"/>
      <c r="J122" s="300"/>
      <c r="K122" s="342">
        <f t="shared" si="140"/>
        <v>642</v>
      </c>
      <c r="L122" s="298">
        <f t="shared" si="134"/>
        <v>642</v>
      </c>
      <c r="M122" s="326">
        <f t="shared" si="135"/>
        <v>0</v>
      </c>
      <c r="N122" s="295"/>
      <c r="O122" s="295"/>
    </row>
    <row r="123" spans="1:15" x14ac:dyDescent="0.2">
      <c r="A123" s="299" t="str">
        <f t="shared" si="129"/>
        <v>3</v>
      </c>
      <c r="B123" s="299" t="str">
        <f t="shared" si="130"/>
        <v>37</v>
      </c>
      <c r="C123" s="299">
        <v>3739</v>
      </c>
      <c r="D123" s="226" t="s">
        <v>260</v>
      </c>
      <c r="E123" s="298">
        <f t="shared" si="131"/>
        <v>1160</v>
      </c>
      <c r="F123" s="300">
        <v>1160</v>
      </c>
      <c r="G123" s="300"/>
      <c r="H123" s="300">
        <f t="shared" si="132"/>
        <v>10800</v>
      </c>
      <c r="I123" s="300">
        <v>10800</v>
      </c>
      <c r="J123" s="300"/>
      <c r="K123" s="342">
        <f t="shared" si="140"/>
        <v>11960</v>
      </c>
      <c r="L123" s="298">
        <f t="shared" si="134"/>
        <v>11960</v>
      </c>
      <c r="M123" s="326">
        <f t="shared" si="135"/>
        <v>0</v>
      </c>
      <c r="N123" s="295"/>
      <c r="O123" s="295"/>
    </row>
    <row r="124" spans="1:15" x14ac:dyDescent="0.2">
      <c r="A124" s="299" t="str">
        <f t="shared" si="129"/>
        <v>3</v>
      </c>
      <c r="B124" s="299" t="str">
        <f t="shared" si="130"/>
        <v>37</v>
      </c>
      <c r="C124" s="299">
        <v>3741</v>
      </c>
      <c r="D124" s="226" t="s">
        <v>261</v>
      </c>
      <c r="E124" s="298">
        <f t="shared" si="131"/>
        <v>78961</v>
      </c>
      <c r="F124" s="300">
        <v>78961</v>
      </c>
      <c r="G124" s="300"/>
      <c r="H124" s="300">
        <f t="shared" si="132"/>
        <v>29900</v>
      </c>
      <c r="I124" s="300">
        <v>29900</v>
      </c>
      <c r="J124" s="300"/>
      <c r="K124" s="342">
        <f t="shared" si="140"/>
        <v>108861</v>
      </c>
      <c r="L124" s="298">
        <f t="shared" si="134"/>
        <v>108861</v>
      </c>
      <c r="M124" s="326">
        <f t="shared" si="135"/>
        <v>0</v>
      </c>
      <c r="N124" s="295"/>
      <c r="O124" s="295"/>
    </row>
    <row r="125" spans="1:15" x14ac:dyDescent="0.2">
      <c r="A125" s="299" t="str">
        <f t="shared" si="129"/>
        <v>3</v>
      </c>
      <c r="B125" s="299" t="str">
        <f t="shared" si="130"/>
        <v>37</v>
      </c>
      <c r="C125" s="299">
        <v>3742</v>
      </c>
      <c r="D125" s="226" t="s">
        <v>262</v>
      </c>
      <c r="E125" s="298">
        <f t="shared" si="131"/>
        <v>986</v>
      </c>
      <c r="F125" s="300">
        <v>980</v>
      </c>
      <c r="G125" s="300">
        <v>6</v>
      </c>
      <c r="H125" s="300">
        <f t="shared" si="132"/>
        <v>10</v>
      </c>
      <c r="I125" s="300"/>
      <c r="J125" s="300">
        <v>10</v>
      </c>
      <c r="K125" s="342">
        <f t="shared" si="140"/>
        <v>996</v>
      </c>
      <c r="L125" s="298">
        <f t="shared" si="134"/>
        <v>980</v>
      </c>
      <c r="M125" s="326">
        <f t="shared" si="135"/>
        <v>16</v>
      </c>
      <c r="N125" s="295"/>
      <c r="O125" s="295"/>
    </row>
    <row r="126" spans="1:15" x14ac:dyDescent="0.2">
      <c r="A126" s="299" t="str">
        <f t="shared" si="129"/>
        <v>3</v>
      </c>
      <c r="B126" s="299" t="str">
        <f t="shared" si="130"/>
        <v>37</v>
      </c>
      <c r="C126" s="299">
        <v>3744</v>
      </c>
      <c r="D126" s="226" t="s">
        <v>427</v>
      </c>
      <c r="E126" s="298">
        <f t="shared" si="131"/>
        <v>696</v>
      </c>
      <c r="F126" s="300">
        <v>696</v>
      </c>
      <c r="G126" s="300"/>
      <c r="H126" s="300">
        <f t="shared" si="132"/>
        <v>111112</v>
      </c>
      <c r="I126" s="300">
        <v>111112</v>
      </c>
      <c r="J126" s="300"/>
      <c r="K126" s="342">
        <f t="shared" si="140"/>
        <v>111808</v>
      </c>
      <c r="L126" s="298">
        <f t="shared" si="134"/>
        <v>111808</v>
      </c>
      <c r="M126" s="326">
        <f t="shared" si="135"/>
        <v>0</v>
      </c>
      <c r="N126" s="295"/>
      <c r="O126" s="295"/>
    </row>
    <row r="127" spans="1:15" x14ac:dyDescent="0.2">
      <c r="A127" s="299" t="str">
        <f t="shared" si="129"/>
        <v>3</v>
      </c>
      <c r="B127" s="299" t="str">
        <f t="shared" si="130"/>
        <v>37</v>
      </c>
      <c r="C127" s="299">
        <v>3745</v>
      </c>
      <c r="D127" s="226" t="s">
        <v>263</v>
      </c>
      <c r="E127" s="298">
        <f t="shared" si="131"/>
        <v>306316</v>
      </c>
      <c r="F127" s="300">
        <v>74214</v>
      </c>
      <c r="G127" s="300">
        <v>232102</v>
      </c>
      <c r="H127" s="300">
        <f t="shared" si="132"/>
        <v>116455</v>
      </c>
      <c r="I127" s="300">
        <v>58845</v>
      </c>
      <c r="J127" s="300">
        <v>57610</v>
      </c>
      <c r="K127" s="342">
        <f t="shared" si="140"/>
        <v>422771</v>
      </c>
      <c r="L127" s="298">
        <f t="shared" si="134"/>
        <v>133059</v>
      </c>
      <c r="M127" s="326">
        <f t="shared" si="135"/>
        <v>289712</v>
      </c>
      <c r="N127" s="295"/>
      <c r="O127" s="295"/>
    </row>
    <row r="128" spans="1:15" x14ac:dyDescent="0.2">
      <c r="A128" s="299" t="str">
        <f t="shared" si="129"/>
        <v>3</v>
      </c>
      <c r="B128" s="299" t="str">
        <f t="shared" si="130"/>
        <v>37</v>
      </c>
      <c r="C128" s="299">
        <v>3749</v>
      </c>
      <c r="D128" s="226" t="s">
        <v>264</v>
      </c>
      <c r="E128" s="298">
        <f t="shared" si="131"/>
        <v>1365</v>
      </c>
      <c r="F128" s="300">
        <v>400</v>
      </c>
      <c r="G128" s="300">
        <v>965</v>
      </c>
      <c r="H128" s="300">
        <f t="shared" si="132"/>
        <v>3450</v>
      </c>
      <c r="I128" s="300">
        <v>3450</v>
      </c>
      <c r="J128" s="300"/>
      <c r="K128" s="342">
        <f t="shared" si="140"/>
        <v>4815</v>
      </c>
      <c r="L128" s="298">
        <f t="shared" si="134"/>
        <v>3850</v>
      </c>
      <c r="M128" s="326">
        <f t="shared" si="135"/>
        <v>965</v>
      </c>
      <c r="N128" s="295"/>
      <c r="O128" s="295"/>
    </row>
    <row r="129" spans="1:15" x14ac:dyDescent="0.2">
      <c r="A129" s="299" t="str">
        <f t="shared" si="129"/>
        <v>3</v>
      </c>
      <c r="B129" s="299" t="str">
        <f t="shared" si="130"/>
        <v>37</v>
      </c>
      <c r="C129" s="299">
        <v>3792</v>
      </c>
      <c r="D129" s="226" t="s">
        <v>265</v>
      </c>
      <c r="E129" s="298">
        <f t="shared" si="131"/>
        <v>6600</v>
      </c>
      <c r="F129" s="300">
        <v>6580</v>
      </c>
      <c r="G129" s="300">
        <v>20</v>
      </c>
      <c r="H129" s="300">
        <f t="shared" si="132"/>
        <v>100</v>
      </c>
      <c r="I129" s="300">
        <v>100</v>
      </c>
      <c r="J129" s="300"/>
      <c r="K129" s="342">
        <f t="shared" ref="K129" si="141">+L129+M129</f>
        <v>6700</v>
      </c>
      <c r="L129" s="298">
        <f t="shared" si="134"/>
        <v>6680</v>
      </c>
      <c r="M129" s="326">
        <f t="shared" si="135"/>
        <v>20</v>
      </c>
      <c r="N129" s="295"/>
      <c r="O129" s="295"/>
    </row>
    <row r="130" spans="1:15" x14ac:dyDescent="0.2">
      <c r="A130" s="301" t="s">
        <v>184</v>
      </c>
      <c r="B130" s="301"/>
      <c r="C130" s="302"/>
      <c r="D130" s="332"/>
      <c r="E130" s="303">
        <f t="shared" ref="E130:M130" si="142">SUM(E116:E129)</f>
        <v>796686</v>
      </c>
      <c r="F130" s="303">
        <f t="shared" si="142"/>
        <v>522856</v>
      </c>
      <c r="G130" s="303">
        <f t="shared" si="142"/>
        <v>273830</v>
      </c>
      <c r="H130" s="303">
        <f t="shared" si="142"/>
        <v>286366</v>
      </c>
      <c r="I130" s="303">
        <f t="shared" si="142"/>
        <v>215466</v>
      </c>
      <c r="J130" s="303">
        <f t="shared" si="142"/>
        <v>70900</v>
      </c>
      <c r="K130" s="341">
        <f t="shared" si="142"/>
        <v>1083052</v>
      </c>
      <c r="L130" s="303">
        <f t="shared" si="142"/>
        <v>738322</v>
      </c>
      <c r="M130" s="304">
        <f t="shared" si="142"/>
        <v>344730</v>
      </c>
      <c r="N130" s="295"/>
      <c r="O130" s="295"/>
    </row>
    <row r="131" spans="1:15" ht="12.75" customHeight="1" x14ac:dyDescent="0.2">
      <c r="A131" s="316"/>
      <c r="B131" s="315"/>
      <c r="C131" s="316"/>
      <c r="D131" s="339"/>
      <c r="E131" s="317"/>
      <c r="F131" s="317"/>
      <c r="G131" s="317"/>
      <c r="H131" s="317"/>
      <c r="I131" s="317"/>
      <c r="J131" s="317"/>
      <c r="K131" s="353"/>
      <c r="L131" s="317"/>
      <c r="M131" s="354"/>
      <c r="N131" s="295"/>
      <c r="O131" s="295"/>
    </row>
    <row r="132" spans="1:15" x14ac:dyDescent="0.2">
      <c r="A132" s="299" t="str">
        <f>MID(C132,1,1)</f>
        <v>3</v>
      </c>
      <c r="B132" s="299" t="str">
        <f>MID(C132,1,2)</f>
        <v>38</v>
      </c>
      <c r="C132" s="299">
        <v>3809</v>
      </c>
      <c r="D132" s="226" t="s">
        <v>428</v>
      </c>
      <c r="E132" s="300">
        <f>+F132+G132</f>
        <v>42050</v>
      </c>
      <c r="F132" s="300">
        <v>42050</v>
      </c>
      <c r="G132" s="300"/>
      <c r="H132" s="300">
        <f>+I132+J132</f>
        <v>0</v>
      </c>
      <c r="I132" s="300"/>
      <c r="J132" s="300"/>
      <c r="K132" s="352">
        <f t="shared" ref="K132" si="143">+L132+M132</f>
        <v>42050</v>
      </c>
      <c r="L132" s="300">
        <f t="shared" ref="L132" si="144">+F132+I132</f>
        <v>42050</v>
      </c>
      <c r="M132" s="328">
        <f t="shared" ref="M132" si="145">+G132+J132</f>
        <v>0</v>
      </c>
      <c r="N132" s="295"/>
      <c r="O132" s="295"/>
    </row>
    <row r="133" spans="1:15" x14ac:dyDescent="0.2">
      <c r="A133" s="301" t="s">
        <v>266</v>
      </c>
      <c r="B133" s="301"/>
      <c r="C133" s="302"/>
      <c r="D133" s="332"/>
      <c r="E133" s="303">
        <f t="shared" ref="E133:M133" si="146">SUM(E132:E132)</f>
        <v>42050</v>
      </c>
      <c r="F133" s="303">
        <f t="shared" si="146"/>
        <v>42050</v>
      </c>
      <c r="G133" s="303">
        <f t="shared" si="146"/>
        <v>0</v>
      </c>
      <c r="H133" s="303">
        <f t="shared" si="146"/>
        <v>0</v>
      </c>
      <c r="I133" s="303">
        <f t="shared" si="146"/>
        <v>0</v>
      </c>
      <c r="J133" s="303">
        <f t="shared" si="146"/>
        <v>0</v>
      </c>
      <c r="K133" s="341">
        <f t="shared" si="146"/>
        <v>42050</v>
      </c>
      <c r="L133" s="303">
        <f t="shared" si="146"/>
        <v>42050</v>
      </c>
      <c r="M133" s="304">
        <f t="shared" si="146"/>
        <v>0</v>
      </c>
      <c r="N133" s="295"/>
      <c r="O133" s="295"/>
    </row>
    <row r="134" spans="1:15" ht="12.75" customHeight="1" x14ac:dyDescent="0.2">
      <c r="A134" s="319"/>
      <c r="B134" s="318"/>
      <c r="C134" s="319"/>
      <c r="D134" s="340"/>
      <c r="E134" s="320"/>
      <c r="F134" s="320"/>
      <c r="G134" s="320"/>
      <c r="H134" s="312"/>
      <c r="I134" s="312"/>
      <c r="J134" s="312"/>
      <c r="K134" s="349"/>
      <c r="L134" s="312"/>
      <c r="M134" s="327"/>
      <c r="N134" s="295"/>
      <c r="O134" s="295"/>
    </row>
    <row r="135" spans="1:15" x14ac:dyDescent="0.2">
      <c r="A135" s="299" t="str">
        <f>MID(C135,1,1)</f>
        <v>3</v>
      </c>
      <c r="B135" s="299" t="str">
        <f>MID(C135,1,2)</f>
        <v>39</v>
      </c>
      <c r="C135" s="299">
        <v>3900</v>
      </c>
      <c r="D135" s="226" t="s">
        <v>429</v>
      </c>
      <c r="E135" s="300">
        <f>+F135+G135</f>
        <v>54252</v>
      </c>
      <c r="F135" s="300">
        <v>53491</v>
      </c>
      <c r="G135" s="300">
        <v>761</v>
      </c>
      <c r="H135" s="300">
        <f>+I135+J135</f>
        <v>500</v>
      </c>
      <c r="I135" s="300">
        <v>500</v>
      </c>
      <c r="J135" s="300"/>
      <c r="K135" s="342">
        <f t="shared" ref="K135" si="147">+L135+M135</f>
        <v>54752</v>
      </c>
      <c r="L135" s="298">
        <f t="shared" ref="L135" si="148">+F135+I135</f>
        <v>53991</v>
      </c>
      <c r="M135" s="326">
        <f t="shared" ref="M135" si="149">+G135+J135</f>
        <v>761</v>
      </c>
      <c r="N135" s="295"/>
      <c r="O135" s="295"/>
    </row>
    <row r="136" spans="1:15" x14ac:dyDescent="0.2">
      <c r="A136" s="301" t="s">
        <v>456</v>
      </c>
      <c r="B136" s="301"/>
      <c r="C136" s="302"/>
      <c r="D136" s="332"/>
      <c r="E136" s="303">
        <f t="shared" ref="E136:M136" si="150">SUM(E135:E135)</f>
        <v>54252</v>
      </c>
      <c r="F136" s="303">
        <f t="shared" si="150"/>
        <v>53491</v>
      </c>
      <c r="G136" s="303">
        <f t="shared" si="150"/>
        <v>761</v>
      </c>
      <c r="H136" s="303">
        <f t="shared" si="150"/>
        <v>500</v>
      </c>
      <c r="I136" s="303">
        <f t="shared" si="150"/>
        <v>500</v>
      </c>
      <c r="J136" s="303">
        <f t="shared" si="150"/>
        <v>0</v>
      </c>
      <c r="K136" s="341">
        <f t="shared" si="150"/>
        <v>54752</v>
      </c>
      <c r="L136" s="303">
        <f t="shared" si="150"/>
        <v>53991</v>
      </c>
      <c r="M136" s="304">
        <f t="shared" si="150"/>
        <v>761</v>
      </c>
      <c r="N136" s="295"/>
      <c r="O136" s="295"/>
    </row>
    <row r="137" spans="1:15" ht="11.25" customHeight="1" thickBot="1" x14ac:dyDescent="0.25">
      <c r="A137" s="308"/>
      <c r="B137" s="321"/>
      <c r="C137" s="308"/>
      <c r="D137" s="334"/>
      <c r="E137" s="309"/>
      <c r="F137" s="309"/>
      <c r="G137" s="309"/>
      <c r="H137" s="309"/>
      <c r="I137" s="309"/>
      <c r="J137" s="309"/>
      <c r="K137" s="345"/>
      <c r="L137" s="309"/>
      <c r="M137" s="346"/>
      <c r="N137" s="295"/>
      <c r="O137" s="295"/>
    </row>
    <row r="138" spans="1:15" ht="14.25" thickTop="1" thickBot="1" x14ac:dyDescent="0.25">
      <c r="A138" s="321" t="s">
        <v>408</v>
      </c>
      <c r="B138" s="308"/>
      <c r="C138" s="308"/>
      <c r="D138" s="334"/>
      <c r="E138" s="309">
        <f>+E130+E114+E101+E89+E83+E60+E65+E133+E136</f>
        <v>4760166</v>
      </c>
      <c r="F138" s="309">
        <f>+F130+F114+F101+F89+F83+F60+F65+F133+F136</f>
        <v>3599162</v>
      </c>
      <c r="G138" s="309">
        <f>+G130+G114+G101+G89+G83+G60+G65+G133+G136</f>
        <v>1161004</v>
      </c>
      <c r="H138" s="309">
        <f>+H130+H114+H101+H89+H83+H60+H133+H136+H65</f>
        <v>3434587</v>
      </c>
      <c r="I138" s="309">
        <f>+I130+I114+I101+I89+I83+I60+I133+I136+I65</f>
        <v>2240960</v>
      </c>
      <c r="J138" s="309">
        <f>+J130+J114+J101+J89+J83+J60+J133+J136+J65</f>
        <v>1193627</v>
      </c>
      <c r="K138" s="345">
        <f>+K130+K114+K101+K89+K83+K60+K65+K133+K136</f>
        <v>8194753</v>
      </c>
      <c r="L138" s="309">
        <f>+L130+L114+L101+L89+L83+L60+L65+L133+L136</f>
        <v>5840122</v>
      </c>
      <c r="M138" s="346">
        <f>+M130+M114+M101+M89+M83+M60+M65+M133+M136</f>
        <v>2354631</v>
      </c>
      <c r="N138" s="295"/>
      <c r="O138" s="295"/>
    </row>
    <row r="139" spans="1:15" ht="13.5" thickTop="1" x14ac:dyDescent="0.2">
      <c r="A139" s="335"/>
      <c r="B139" s="297"/>
      <c r="C139" s="297"/>
      <c r="D139" s="331"/>
      <c r="E139" s="310"/>
      <c r="F139" s="310"/>
      <c r="G139" s="310"/>
      <c r="H139" s="310"/>
      <c r="I139" s="310"/>
      <c r="J139" s="310"/>
      <c r="K139" s="347"/>
      <c r="L139" s="310"/>
      <c r="M139" s="348"/>
      <c r="N139" s="295"/>
      <c r="O139" s="295"/>
    </row>
    <row r="140" spans="1:15" x14ac:dyDescent="0.2">
      <c r="A140" s="299" t="str">
        <f>MID(C140,1,1)</f>
        <v>4</v>
      </c>
      <c r="B140" s="299" t="str">
        <f>MID(C140,1,2)</f>
        <v>43</v>
      </c>
      <c r="C140" s="299">
        <v>4319</v>
      </c>
      <c r="D140" s="226" t="s">
        <v>321</v>
      </c>
      <c r="E140" s="298">
        <f t="shared" ref="E140:E156" si="151">+F140+G140</f>
        <v>25</v>
      </c>
      <c r="F140" s="300"/>
      <c r="G140" s="300">
        <v>25</v>
      </c>
      <c r="H140" s="300"/>
      <c r="I140" s="300"/>
      <c r="J140" s="300"/>
      <c r="K140" s="342">
        <f t="shared" ref="K140:K156" si="152">+L140+M140</f>
        <v>25</v>
      </c>
      <c r="L140" s="298">
        <f t="shared" ref="L140:L156" si="153">+F140+I140</f>
        <v>0</v>
      </c>
      <c r="M140" s="326">
        <f t="shared" ref="M140:M156" si="154">+G140+J140</f>
        <v>25</v>
      </c>
      <c r="N140" s="295"/>
      <c r="O140" s="295"/>
    </row>
    <row r="141" spans="1:15" x14ac:dyDescent="0.2">
      <c r="A141" s="299" t="str">
        <f>MID(C141,1,1)</f>
        <v>4</v>
      </c>
      <c r="B141" s="299" t="str">
        <f>MID(C141,1,2)</f>
        <v>43</v>
      </c>
      <c r="C141" s="299">
        <v>4324</v>
      </c>
      <c r="D141" s="226" t="s">
        <v>267</v>
      </c>
      <c r="E141" s="298">
        <f t="shared" si="151"/>
        <v>14778</v>
      </c>
      <c r="F141" s="300"/>
      <c r="G141" s="300">
        <v>14778</v>
      </c>
      <c r="H141" s="300"/>
      <c r="I141" s="300"/>
      <c r="J141" s="300"/>
      <c r="K141" s="342">
        <f t="shared" si="152"/>
        <v>14778</v>
      </c>
      <c r="L141" s="298">
        <f t="shared" si="153"/>
        <v>0</v>
      </c>
      <c r="M141" s="326">
        <f t="shared" si="154"/>
        <v>14778</v>
      </c>
      <c r="N141" s="295"/>
      <c r="O141" s="295"/>
    </row>
    <row r="142" spans="1:15" x14ac:dyDescent="0.2">
      <c r="A142" s="299" t="str">
        <f t="shared" ref="A142:A156" si="155">MID(C142,1,1)</f>
        <v>4</v>
      </c>
      <c r="B142" s="299" t="str">
        <f t="shared" ref="B142:B156" si="156">MID(C142,1,2)</f>
        <v>43</v>
      </c>
      <c r="C142" s="299">
        <v>4329</v>
      </c>
      <c r="D142" s="226" t="s">
        <v>268</v>
      </c>
      <c r="E142" s="298">
        <f t="shared" si="151"/>
        <v>145</v>
      </c>
      <c r="F142" s="300"/>
      <c r="G142" s="300">
        <v>145</v>
      </c>
      <c r="H142" s="300">
        <f t="shared" ref="H142:H156" si="157">+I142+J142</f>
        <v>0</v>
      </c>
      <c r="I142" s="300"/>
      <c r="J142" s="300"/>
      <c r="K142" s="342">
        <f t="shared" si="152"/>
        <v>145</v>
      </c>
      <c r="L142" s="298">
        <f t="shared" si="153"/>
        <v>0</v>
      </c>
      <c r="M142" s="326">
        <f t="shared" si="154"/>
        <v>145</v>
      </c>
      <c r="N142" s="295"/>
      <c r="O142" s="295"/>
    </row>
    <row r="143" spans="1:15" x14ac:dyDescent="0.2">
      <c r="A143" s="299" t="str">
        <f t="shared" si="155"/>
        <v>4</v>
      </c>
      <c r="B143" s="299" t="str">
        <f t="shared" si="156"/>
        <v>43</v>
      </c>
      <c r="C143" s="299">
        <v>4339</v>
      </c>
      <c r="D143" s="226" t="s">
        <v>269</v>
      </c>
      <c r="E143" s="298">
        <f t="shared" si="151"/>
        <v>118063</v>
      </c>
      <c r="F143" s="300">
        <v>118028</v>
      </c>
      <c r="G143" s="300">
        <v>35</v>
      </c>
      <c r="H143" s="300"/>
      <c r="I143" s="300"/>
      <c r="J143" s="300"/>
      <c r="K143" s="342">
        <f t="shared" si="152"/>
        <v>118063</v>
      </c>
      <c r="L143" s="298">
        <f t="shared" si="153"/>
        <v>118028</v>
      </c>
      <c r="M143" s="326">
        <f t="shared" si="154"/>
        <v>35</v>
      </c>
      <c r="N143" s="295"/>
      <c r="O143" s="295"/>
    </row>
    <row r="144" spans="1:15" x14ac:dyDescent="0.2">
      <c r="A144" s="299" t="str">
        <f t="shared" si="155"/>
        <v>4</v>
      </c>
      <c r="B144" s="299" t="str">
        <f t="shared" si="156"/>
        <v>43</v>
      </c>
      <c r="C144" s="299">
        <v>4341</v>
      </c>
      <c r="D144" s="226" t="s">
        <v>418</v>
      </c>
      <c r="E144" s="298">
        <f t="shared" si="151"/>
        <v>8890</v>
      </c>
      <c r="F144" s="300">
        <v>8882</v>
      </c>
      <c r="G144" s="300">
        <v>8</v>
      </c>
      <c r="H144" s="300">
        <f t="shared" si="157"/>
        <v>3300</v>
      </c>
      <c r="I144" s="300">
        <v>3300</v>
      </c>
      <c r="J144" s="300"/>
      <c r="K144" s="342">
        <f t="shared" si="152"/>
        <v>12190</v>
      </c>
      <c r="L144" s="298">
        <f t="shared" si="153"/>
        <v>12182</v>
      </c>
      <c r="M144" s="326">
        <f t="shared" si="154"/>
        <v>8</v>
      </c>
      <c r="N144" s="295"/>
      <c r="O144" s="295"/>
    </row>
    <row r="145" spans="1:15" x14ac:dyDescent="0.2">
      <c r="A145" s="299" t="str">
        <f t="shared" si="155"/>
        <v>4</v>
      </c>
      <c r="B145" s="299" t="str">
        <f t="shared" si="156"/>
        <v>43</v>
      </c>
      <c r="C145" s="299">
        <v>4342</v>
      </c>
      <c r="D145" s="226" t="s">
        <v>430</v>
      </c>
      <c r="E145" s="298">
        <f t="shared" si="151"/>
        <v>16020</v>
      </c>
      <c r="F145" s="300">
        <v>16020</v>
      </c>
      <c r="G145" s="300"/>
      <c r="H145" s="300">
        <f t="shared" si="157"/>
        <v>0</v>
      </c>
      <c r="I145" s="300"/>
      <c r="J145" s="300"/>
      <c r="K145" s="342">
        <f t="shared" si="152"/>
        <v>16020</v>
      </c>
      <c r="L145" s="298">
        <f t="shared" si="153"/>
        <v>16020</v>
      </c>
      <c r="M145" s="326">
        <f t="shared" si="154"/>
        <v>0</v>
      </c>
      <c r="N145" s="295"/>
      <c r="O145" s="295"/>
    </row>
    <row r="146" spans="1:15" x14ac:dyDescent="0.2">
      <c r="A146" s="299" t="str">
        <f t="shared" ref="A146" si="158">MID(C146,1,1)</f>
        <v>4</v>
      </c>
      <c r="B146" s="299" t="str">
        <f t="shared" ref="B146" si="159">MID(C146,1,2)</f>
        <v>43</v>
      </c>
      <c r="C146" s="299">
        <v>4344</v>
      </c>
      <c r="D146" s="226" t="s">
        <v>357</v>
      </c>
      <c r="E146" s="298">
        <f t="shared" ref="E146" si="160">+F146+G146</f>
        <v>20</v>
      </c>
      <c r="F146" s="300"/>
      <c r="G146" s="300">
        <v>20</v>
      </c>
      <c r="H146" s="300">
        <f t="shared" ref="H146" si="161">+I146+J146</f>
        <v>0</v>
      </c>
      <c r="I146" s="300"/>
      <c r="J146" s="300"/>
      <c r="K146" s="342">
        <f t="shared" ref="K146" si="162">+L146+M146</f>
        <v>20</v>
      </c>
      <c r="L146" s="298">
        <f t="shared" si="153"/>
        <v>0</v>
      </c>
      <c r="M146" s="326">
        <f t="shared" si="154"/>
        <v>20</v>
      </c>
      <c r="N146" s="295"/>
      <c r="O146" s="295"/>
    </row>
    <row r="147" spans="1:15" x14ac:dyDescent="0.2">
      <c r="A147" s="299" t="str">
        <f t="shared" si="155"/>
        <v>4</v>
      </c>
      <c r="B147" s="299" t="str">
        <f t="shared" si="156"/>
        <v>43</v>
      </c>
      <c r="C147" s="299">
        <v>4349</v>
      </c>
      <c r="D147" s="226" t="s">
        <v>431</v>
      </c>
      <c r="E147" s="298">
        <f t="shared" si="151"/>
        <v>18911</v>
      </c>
      <c r="F147" s="300">
        <v>18508</v>
      </c>
      <c r="G147" s="300">
        <v>403</v>
      </c>
      <c r="H147" s="300">
        <f t="shared" si="157"/>
        <v>0</v>
      </c>
      <c r="I147" s="300"/>
      <c r="J147" s="300"/>
      <c r="K147" s="342">
        <f t="shared" si="152"/>
        <v>18911</v>
      </c>
      <c r="L147" s="298">
        <f t="shared" si="153"/>
        <v>18508</v>
      </c>
      <c r="M147" s="326">
        <f t="shared" si="154"/>
        <v>403</v>
      </c>
      <c r="N147" s="295"/>
      <c r="O147" s="295"/>
    </row>
    <row r="148" spans="1:15" x14ac:dyDescent="0.2">
      <c r="A148" s="299" t="str">
        <f t="shared" si="155"/>
        <v>4</v>
      </c>
      <c r="B148" s="299" t="str">
        <f t="shared" si="156"/>
        <v>43</v>
      </c>
      <c r="C148" s="299">
        <v>4350</v>
      </c>
      <c r="D148" s="226" t="s">
        <v>185</v>
      </c>
      <c r="E148" s="298">
        <f t="shared" si="151"/>
        <v>262547</v>
      </c>
      <c r="F148" s="300">
        <v>262547</v>
      </c>
      <c r="G148" s="300"/>
      <c r="H148" s="300">
        <f t="shared" si="157"/>
        <v>8050</v>
      </c>
      <c r="I148" s="300">
        <v>8050</v>
      </c>
      <c r="J148" s="300"/>
      <c r="K148" s="342">
        <f t="shared" si="152"/>
        <v>270597</v>
      </c>
      <c r="L148" s="298">
        <f t="shared" si="153"/>
        <v>270597</v>
      </c>
      <c r="M148" s="326">
        <f t="shared" si="154"/>
        <v>0</v>
      </c>
      <c r="N148" s="295"/>
      <c r="O148" s="295"/>
    </row>
    <row r="149" spans="1:15" x14ac:dyDescent="0.2">
      <c r="A149" s="299" t="str">
        <f t="shared" si="155"/>
        <v>4</v>
      </c>
      <c r="B149" s="299" t="str">
        <f t="shared" si="156"/>
        <v>43</v>
      </c>
      <c r="C149" s="299">
        <v>4351</v>
      </c>
      <c r="D149" s="336" t="s">
        <v>432</v>
      </c>
      <c r="E149" s="298">
        <f t="shared" si="151"/>
        <v>40</v>
      </c>
      <c r="F149" s="300"/>
      <c r="G149" s="300">
        <v>40</v>
      </c>
      <c r="H149" s="300">
        <f t="shared" si="157"/>
        <v>73020</v>
      </c>
      <c r="I149" s="300">
        <v>73020</v>
      </c>
      <c r="J149" s="300"/>
      <c r="K149" s="342">
        <f t="shared" si="152"/>
        <v>73060</v>
      </c>
      <c r="L149" s="298">
        <f t="shared" si="153"/>
        <v>73020</v>
      </c>
      <c r="M149" s="326">
        <f t="shared" si="154"/>
        <v>40</v>
      </c>
      <c r="N149" s="295"/>
      <c r="O149" s="295"/>
    </row>
    <row r="150" spans="1:15" x14ac:dyDescent="0.2">
      <c r="A150" s="299" t="str">
        <f t="shared" si="155"/>
        <v>4</v>
      </c>
      <c r="B150" s="299" t="str">
        <f t="shared" si="156"/>
        <v>43</v>
      </c>
      <c r="C150" s="299">
        <v>4357</v>
      </c>
      <c r="D150" s="336" t="s">
        <v>186</v>
      </c>
      <c r="E150" s="298">
        <f t="shared" si="151"/>
        <v>56560</v>
      </c>
      <c r="F150" s="300">
        <v>56495</v>
      </c>
      <c r="G150" s="300">
        <v>65</v>
      </c>
      <c r="H150" s="300">
        <f t="shared" si="157"/>
        <v>7000</v>
      </c>
      <c r="I150" s="300">
        <v>7000</v>
      </c>
      <c r="J150" s="300"/>
      <c r="K150" s="342">
        <f t="shared" si="152"/>
        <v>63560</v>
      </c>
      <c r="L150" s="298">
        <f t="shared" si="153"/>
        <v>63495</v>
      </c>
      <c r="M150" s="326">
        <f t="shared" si="154"/>
        <v>65</v>
      </c>
      <c r="N150" s="295"/>
      <c r="O150" s="295"/>
    </row>
    <row r="151" spans="1:15" x14ac:dyDescent="0.2">
      <c r="A151" s="299" t="str">
        <f t="shared" si="155"/>
        <v>4</v>
      </c>
      <c r="B151" s="299" t="str">
        <f t="shared" si="156"/>
        <v>43</v>
      </c>
      <c r="C151" s="299">
        <v>4359</v>
      </c>
      <c r="D151" s="226" t="s">
        <v>270</v>
      </c>
      <c r="E151" s="298">
        <f t="shared" si="151"/>
        <v>126598</v>
      </c>
      <c r="F151" s="300">
        <v>123700</v>
      </c>
      <c r="G151" s="300">
        <v>2898</v>
      </c>
      <c r="H151" s="300">
        <f t="shared" si="157"/>
        <v>400</v>
      </c>
      <c r="I151" s="300"/>
      <c r="J151" s="300">
        <v>400</v>
      </c>
      <c r="K151" s="342">
        <f t="shared" si="152"/>
        <v>126998</v>
      </c>
      <c r="L151" s="298">
        <f t="shared" si="153"/>
        <v>123700</v>
      </c>
      <c r="M151" s="326">
        <f t="shared" si="154"/>
        <v>3298</v>
      </c>
      <c r="N151" s="295"/>
      <c r="O151" s="295"/>
    </row>
    <row r="152" spans="1:15" x14ac:dyDescent="0.2">
      <c r="A152" s="299" t="str">
        <f t="shared" si="155"/>
        <v>4</v>
      </c>
      <c r="B152" s="299" t="str">
        <f t="shared" si="156"/>
        <v>43</v>
      </c>
      <c r="C152" s="299">
        <v>4372</v>
      </c>
      <c r="D152" s="226" t="s">
        <v>320</v>
      </c>
      <c r="E152" s="298">
        <f t="shared" si="151"/>
        <v>8</v>
      </c>
      <c r="F152" s="300"/>
      <c r="G152" s="300">
        <v>8</v>
      </c>
      <c r="H152" s="300">
        <f t="shared" si="157"/>
        <v>0</v>
      </c>
      <c r="I152" s="300"/>
      <c r="J152" s="300"/>
      <c r="K152" s="342">
        <f t="shared" si="152"/>
        <v>8</v>
      </c>
      <c r="L152" s="298">
        <f t="shared" si="153"/>
        <v>0</v>
      </c>
      <c r="M152" s="326">
        <f t="shared" si="154"/>
        <v>8</v>
      </c>
      <c r="N152" s="295"/>
      <c r="O152" s="295"/>
    </row>
    <row r="153" spans="1:15" x14ac:dyDescent="0.2">
      <c r="A153" s="299" t="str">
        <f t="shared" si="155"/>
        <v>4</v>
      </c>
      <c r="B153" s="299" t="str">
        <f t="shared" si="156"/>
        <v>43</v>
      </c>
      <c r="C153" s="299">
        <v>4374</v>
      </c>
      <c r="D153" s="226" t="s">
        <v>271</v>
      </c>
      <c r="E153" s="298">
        <f t="shared" si="151"/>
        <v>205584</v>
      </c>
      <c r="F153" s="300">
        <v>205576</v>
      </c>
      <c r="G153" s="300">
        <v>8</v>
      </c>
      <c r="H153" s="300">
        <f t="shared" si="157"/>
        <v>2000</v>
      </c>
      <c r="I153" s="300">
        <v>2000</v>
      </c>
      <c r="J153" s="300"/>
      <c r="K153" s="342">
        <f t="shared" si="152"/>
        <v>207584</v>
      </c>
      <c r="L153" s="298">
        <f t="shared" si="153"/>
        <v>207576</v>
      </c>
      <c r="M153" s="326">
        <f t="shared" si="154"/>
        <v>8</v>
      </c>
      <c r="N153" s="295"/>
      <c r="O153" s="295"/>
    </row>
    <row r="154" spans="1:15" x14ac:dyDescent="0.2">
      <c r="A154" s="299" t="str">
        <f t="shared" si="155"/>
        <v>4</v>
      </c>
      <c r="B154" s="299" t="str">
        <f t="shared" si="156"/>
        <v>43</v>
      </c>
      <c r="C154" s="299">
        <v>4375</v>
      </c>
      <c r="D154" s="226" t="s">
        <v>272</v>
      </c>
      <c r="E154" s="298">
        <f t="shared" si="151"/>
        <v>30</v>
      </c>
      <c r="F154" s="300"/>
      <c r="G154" s="300">
        <v>30</v>
      </c>
      <c r="H154" s="300">
        <f t="shared" si="157"/>
        <v>0</v>
      </c>
      <c r="I154" s="300"/>
      <c r="J154" s="300"/>
      <c r="K154" s="342">
        <f t="shared" si="152"/>
        <v>30</v>
      </c>
      <c r="L154" s="298">
        <f t="shared" si="153"/>
        <v>0</v>
      </c>
      <c r="M154" s="326">
        <f t="shared" si="154"/>
        <v>30</v>
      </c>
      <c r="N154" s="295"/>
      <c r="O154" s="295"/>
    </row>
    <row r="155" spans="1:15" x14ac:dyDescent="0.2">
      <c r="A155" s="299" t="str">
        <f t="shared" si="155"/>
        <v>4</v>
      </c>
      <c r="B155" s="299" t="str">
        <f t="shared" si="156"/>
        <v>43</v>
      </c>
      <c r="C155" s="299">
        <v>4379</v>
      </c>
      <c r="D155" s="226" t="s">
        <v>353</v>
      </c>
      <c r="E155" s="298">
        <f t="shared" si="151"/>
        <v>2828</v>
      </c>
      <c r="F155" s="300">
        <v>1692</v>
      </c>
      <c r="G155" s="300">
        <v>1136</v>
      </c>
      <c r="H155" s="300">
        <f t="shared" si="157"/>
        <v>0</v>
      </c>
      <c r="I155" s="300"/>
      <c r="J155" s="300"/>
      <c r="K155" s="342">
        <f t="shared" si="152"/>
        <v>2828</v>
      </c>
      <c r="L155" s="298">
        <f t="shared" si="153"/>
        <v>1692</v>
      </c>
      <c r="M155" s="326">
        <f t="shared" si="154"/>
        <v>1136</v>
      </c>
      <c r="N155" s="295"/>
      <c r="O155" s="295"/>
    </row>
    <row r="156" spans="1:15" x14ac:dyDescent="0.2">
      <c r="A156" s="299" t="str">
        <f t="shared" si="155"/>
        <v>4</v>
      </c>
      <c r="B156" s="299" t="str">
        <f t="shared" si="156"/>
        <v>43</v>
      </c>
      <c r="C156" s="299">
        <v>4399</v>
      </c>
      <c r="D156" s="226" t="s">
        <v>273</v>
      </c>
      <c r="E156" s="298">
        <f t="shared" si="151"/>
        <v>310</v>
      </c>
      <c r="F156" s="300"/>
      <c r="G156" s="300">
        <v>310</v>
      </c>
      <c r="H156" s="300">
        <f t="shared" si="157"/>
        <v>0</v>
      </c>
      <c r="I156" s="300"/>
      <c r="J156" s="300"/>
      <c r="K156" s="342">
        <f t="shared" si="152"/>
        <v>310</v>
      </c>
      <c r="L156" s="298">
        <f t="shared" si="153"/>
        <v>0</v>
      </c>
      <c r="M156" s="326">
        <f t="shared" si="154"/>
        <v>310</v>
      </c>
      <c r="N156" s="295"/>
      <c r="O156" s="295"/>
    </row>
    <row r="157" spans="1:15" x14ac:dyDescent="0.2">
      <c r="A157" s="301" t="s">
        <v>322</v>
      </c>
      <c r="B157" s="301"/>
      <c r="C157" s="302"/>
      <c r="D157" s="332"/>
      <c r="E157" s="303">
        <f t="shared" ref="E157:M157" si="163">SUM(E140:E156)</f>
        <v>831357</v>
      </c>
      <c r="F157" s="303">
        <f t="shared" si="163"/>
        <v>811448</v>
      </c>
      <c r="G157" s="303">
        <f t="shared" si="163"/>
        <v>19909</v>
      </c>
      <c r="H157" s="303">
        <f t="shared" si="163"/>
        <v>93770</v>
      </c>
      <c r="I157" s="303">
        <f t="shared" si="163"/>
        <v>93370</v>
      </c>
      <c r="J157" s="303">
        <f t="shared" si="163"/>
        <v>400</v>
      </c>
      <c r="K157" s="341">
        <f t="shared" si="163"/>
        <v>925127</v>
      </c>
      <c r="L157" s="303">
        <f t="shared" si="163"/>
        <v>904818</v>
      </c>
      <c r="M157" s="304">
        <f t="shared" si="163"/>
        <v>20309</v>
      </c>
      <c r="N157" s="295"/>
      <c r="O157" s="295"/>
    </row>
    <row r="158" spans="1:15" ht="13.5" thickBot="1" x14ac:dyDescent="0.25">
      <c r="A158" s="306"/>
      <c r="B158" s="305"/>
      <c r="C158" s="306"/>
      <c r="D158" s="333"/>
      <c r="E158" s="307"/>
      <c r="F158" s="307"/>
      <c r="G158" s="307"/>
      <c r="H158" s="307"/>
      <c r="I158" s="307"/>
      <c r="J158" s="307"/>
      <c r="K158" s="343"/>
      <c r="L158" s="307"/>
      <c r="M158" s="344"/>
      <c r="N158" s="295"/>
      <c r="O158" s="295"/>
    </row>
    <row r="159" spans="1:15" ht="14.25" thickTop="1" thickBot="1" x14ac:dyDescent="0.25">
      <c r="A159" s="321" t="s">
        <v>188</v>
      </c>
      <c r="B159" s="308"/>
      <c r="C159" s="308"/>
      <c r="D159" s="334"/>
      <c r="E159" s="309">
        <f>+E157</f>
        <v>831357</v>
      </c>
      <c r="F159" s="309">
        <f t="shared" ref="F159:M159" si="164">+F157</f>
        <v>811448</v>
      </c>
      <c r="G159" s="309">
        <f t="shared" si="164"/>
        <v>19909</v>
      </c>
      <c r="H159" s="309">
        <f t="shared" si="164"/>
        <v>93770</v>
      </c>
      <c r="I159" s="309">
        <f t="shared" si="164"/>
        <v>93370</v>
      </c>
      <c r="J159" s="309">
        <f t="shared" si="164"/>
        <v>400</v>
      </c>
      <c r="K159" s="345">
        <f t="shared" si="164"/>
        <v>925127</v>
      </c>
      <c r="L159" s="309">
        <f t="shared" si="164"/>
        <v>904818</v>
      </c>
      <c r="M159" s="346">
        <f t="shared" si="164"/>
        <v>20309</v>
      </c>
      <c r="N159" s="295"/>
      <c r="O159" s="295"/>
    </row>
    <row r="160" spans="1:15" ht="13.5" thickTop="1" x14ac:dyDescent="0.2">
      <c r="A160" s="318"/>
      <c r="B160" s="319"/>
      <c r="C160" s="319"/>
      <c r="D160" s="340"/>
      <c r="E160" s="320"/>
      <c r="F160" s="320"/>
      <c r="G160" s="320"/>
      <c r="H160" s="320"/>
      <c r="I160" s="320"/>
      <c r="J160" s="320"/>
      <c r="K160" s="355"/>
      <c r="L160" s="320"/>
      <c r="M160" s="356"/>
      <c r="N160" s="295"/>
      <c r="O160" s="295"/>
    </row>
    <row r="161" spans="1:15" x14ac:dyDescent="0.2">
      <c r="A161" s="299" t="str">
        <f t="shared" ref="A161:A165" si="165">MID(C161,1,1)</f>
        <v>5</v>
      </c>
      <c r="B161" s="299" t="str">
        <f t="shared" ref="B161:B165" si="166">MID(C161,1,2)</f>
        <v>52</v>
      </c>
      <c r="C161" s="299">
        <v>5212</v>
      </c>
      <c r="D161" s="226" t="s">
        <v>274</v>
      </c>
      <c r="E161" s="300">
        <f t="shared" ref="E161:E165" si="167">+F161+G161</f>
        <v>2780</v>
      </c>
      <c r="F161" s="300">
        <v>1824</v>
      </c>
      <c r="G161" s="300">
        <v>956</v>
      </c>
      <c r="H161" s="300">
        <f t="shared" ref="H161:H165" si="168">+I161+J161</f>
        <v>0</v>
      </c>
      <c r="I161" s="300"/>
      <c r="J161" s="300"/>
      <c r="K161" s="352">
        <f t="shared" ref="K161" si="169">+L161+M161</f>
        <v>2780</v>
      </c>
      <c r="L161" s="300">
        <f t="shared" ref="L161:L165" si="170">+F161+I161</f>
        <v>1824</v>
      </c>
      <c r="M161" s="328">
        <f t="shared" ref="M161:M165" si="171">+G161+J161</f>
        <v>956</v>
      </c>
      <c r="N161" s="295"/>
      <c r="O161" s="295"/>
    </row>
    <row r="162" spans="1:15" x14ac:dyDescent="0.2">
      <c r="A162" s="299" t="str">
        <f t="shared" si="165"/>
        <v>5</v>
      </c>
      <c r="B162" s="299" t="str">
        <f t="shared" si="166"/>
        <v>52</v>
      </c>
      <c r="C162" s="299">
        <v>5213</v>
      </c>
      <c r="D162" s="226" t="s">
        <v>326</v>
      </c>
      <c r="E162" s="298">
        <f t="shared" si="167"/>
        <v>4516</v>
      </c>
      <c r="F162" s="300">
        <v>3610</v>
      </c>
      <c r="G162" s="300">
        <v>906</v>
      </c>
      <c r="H162" s="300">
        <f t="shared" si="168"/>
        <v>500</v>
      </c>
      <c r="I162" s="300">
        <v>500</v>
      </c>
      <c r="J162" s="300"/>
      <c r="K162" s="352">
        <f t="shared" ref="K162:K163" si="172">+L162+M162</f>
        <v>5016</v>
      </c>
      <c r="L162" s="300">
        <f t="shared" si="170"/>
        <v>4110</v>
      </c>
      <c r="M162" s="328">
        <f t="shared" si="171"/>
        <v>906</v>
      </c>
      <c r="N162" s="295"/>
      <c r="O162" s="295"/>
    </row>
    <row r="163" spans="1:15" x14ac:dyDescent="0.2">
      <c r="A163" s="299" t="str">
        <f t="shared" si="165"/>
        <v>5</v>
      </c>
      <c r="B163" s="299" t="str">
        <f t="shared" si="166"/>
        <v>52</v>
      </c>
      <c r="C163" s="299">
        <v>5269</v>
      </c>
      <c r="D163" s="226" t="s">
        <v>437</v>
      </c>
      <c r="E163" s="298">
        <f t="shared" si="167"/>
        <v>15</v>
      </c>
      <c r="F163" s="300"/>
      <c r="G163" s="300">
        <v>15</v>
      </c>
      <c r="H163" s="300">
        <f t="shared" si="168"/>
        <v>0</v>
      </c>
      <c r="I163" s="300"/>
      <c r="J163" s="300"/>
      <c r="K163" s="352">
        <f t="shared" si="172"/>
        <v>15</v>
      </c>
      <c r="L163" s="300">
        <f t="shared" si="170"/>
        <v>0</v>
      </c>
      <c r="M163" s="328">
        <f t="shared" si="171"/>
        <v>15</v>
      </c>
      <c r="N163" s="295"/>
      <c r="O163" s="295"/>
    </row>
    <row r="164" spans="1:15" x14ac:dyDescent="0.2">
      <c r="A164" s="299" t="str">
        <f t="shared" si="165"/>
        <v>5</v>
      </c>
      <c r="B164" s="299" t="str">
        <f t="shared" si="166"/>
        <v>52</v>
      </c>
      <c r="C164" s="299">
        <v>5273</v>
      </c>
      <c r="D164" s="226" t="s">
        <v>275</v>
      </c>
      <c r="E164" s="300">
        <f t="shared" si="167"/>
        <v>150</v>
      </c>
      <c r="F164" s="300">
        <v>50</v>
      </c>
      <c r="G164" s="300">
        <v>100</v>
      </c>
      <c r="H164" s="300">
        <f t="shared" si="168"/>
        <v>0</v>
      </c>
      <c r="I164" s="300"/>
      <c r="J164" s="300"/>
      <c r="K164" s="342">
        <f t="shared" ref="K164:K165" si="173">+L164+M164</f>
        <v>150</v>
      </c>
      <c r="L164" s="298">
        <f t="shared" si="170"/>
        <v>50</v>
      </c>
      <c r="M164" s="326">
        <f t="shared" si="171"/>
        <v>100</v>
      </c>
      <c r="N164" s="295"/>
      <c r="O164" s="295"/>
    </row>
    <row r="165" spans="1:15" x14ac:dyDescent="0.2">
      <c r="A165" s="299" t="str">
        <f t="shared" si="165"/>
        <v>5</v>
      </c>
      <c r="B165" s="299" t="str">
        <f t="shared" si="166"/>
        <v>52</v>
      </c>
      <c r="C165" s="299">
        <v>5279</v>
      </c>
      <c r="D165" s="226" t="s">
        <v>433</v>
      </c>
      <c r="E165" s="300">
        <f t="shared" si="167"/>
        <v>15</v>
      </c>
      <c r="F165" s="300"/>
      <c r="G165" s="300">
        <v>15</v>
      </c>
      <c r="H165" s="300">
        <f t="shared" si="168"/>
        <v>0</v>
      </c>
      <c r="I165" s="300"/>
      <c r="J165" s="300"/>
      <c r="K165" s="342">
        <f t="shared" si="173"/>
        <v>15</v>
      </c>
      <c r="L165" s="298">
        <f t="shared" si="170"/>
        <v>0</v>
      </c>
      <c r="M165" s="326">
        <f t="shared" si="171"/>
        <v>15</v>
      </c>
      <c r="N165" s="295"/>
      <c r="O165" s="295"/>
    </row>
    <row r="166" spans="1:15" x14ac:dyDescent="0.2">
      <c r="A166" s="301" t="s">
        <v>276</v>
      </c>
      <c r="B166" s="301"/>
      <c r="C166" s="302"/>
      <c r="D166" s="332"/>
      <c r="E166" s="303">
        <f t="shared" ref="E166:M166" si="174">SUM(E161:E165)</f>
        <v>7476</v>
      </c>
      <c r="F166" s="303">
        <f t="shared" si="174"/>
        <v>5484</v>
      </c>
      <c r="G166" s="303">
        <f t="shared" si="174"/>
        <v>1992</v>
      </c>
      <c r="H166" s="303">
        <f t="shared" si="174"/>
        <v>500</v>
      </c>
      <c r="I166" s="303">
        <f t="shared" si="174"/>
        <v>500</v>
      </c>
      <c r="J166" s="303">
        <f t="shared" si="174"/>
        <v>0</v>
      </c>
      <c r="K166" s="341">
        <f t="shared" si="174"/>
        <v>7976</v>
      </c>
      <c r="L166" s="303">
        <f t="shared" si="174"/>
        <v>5984</v>
      </c>
      <c r="M166" s="304">
        <f t="shared" si="174"/>
        <v>1992</v>
      </c>
      <c r="N166" s="295"/>
      <c r="O166" s="295"/>
    </row>
    <row r="167" spans="1:15" x14ac:dyDescent="0.2">
      <c r="A167" s="299"/>
      <c r="B167" s="311"/>
      <c r="C167" s="299"/>
      <c r="D167" s="226"/>
      <c r="E167" s="312"/>
      <c r="F167" s="312"/>
      <c r="G167" s="312"/>
      <c r="H167" s="312"/>
      <c r="I167" s="312"/>
      <c r="J167" s="312"/>
      <c r="K167" s="349"/>
      <c r="L167" s="312"/>
      <c r="M167" s="327"/>
      <c r="N167" s="295"/>
      <c r="O167" s="295"/>
    </row>
    <row r="168" spans="1:15" x14ac:dyDescent="0.2">
      <c r="A168" s="299" t="str">
        <f>MID(C168,1,1)</f>
        <v>5</v>
      </c>
      <c r="B168" s="299" t="str">
        <f>MID(C168,1,2)</f>
        <v>53</v>
      </c>
      <c r="C168" s="299">
        <v>5311</v>
      </c>
      <c r="D168" s="226" t="s">
        <v>277</v>
      </c>
      <c r="E168" s="298">
        <f>+F168+G168</f>
        <v>546434</v>
      </c>
      <c r="F168" s="300">
        <v>546329</v>
      </c>
      <c r="G168" s="300">
        <v>105</v>
      </c>
      <c r="H168" s="300">
        <f t="shared" ref="H168" si="175">+I168+J168</f>
        <v>10920</v>
      </c>
      <c r="I168" s="300">
        <v>9450</v>
      </c>
      <c r="J168" s="300">
        <v>1470</v>
      </c>
      <c r="K168" s="342">
        <f t="shared" ref="K168:K169" si="176">+L168+M168</f>
        <v>557354</v>
      </c>
      <c r="L168" s="298">
        <f t="shared" ref="L168:L169" si="177">+F168+I168</f>
        <v>555779</v>
      </c>
      <c r="M168" s="326">
        <f t="shared" ref="M168:M169" si="178">+G168+J168</f>
        <v>1575</v>
      </c>
      <c r="N168" s="295"/>
      <c r="O168" s="295"/>
    </row>
    <row r="169" spans="1:15" x14ac:dyDescent="0.2">
      <c r="A169" s="299" t="str">
        <f>MID(C169,1,1)</f>
        <v>5</v>
      </c>
      <c r="B169" s="299" t="str">
        <f>MID(C169,1,2)</f>
        <v>53</v>
      </c>
      <c r="C169" s="299">
        <v>5319</v>
      </c>
      <c r="D169" s="226" t="s">
        <v>278</v>
      </c>
      <c r="E169" s="298">
        <f>+F169+G169</f>
        <v>305</v>
      </c>
      <c r="F169" s="300">
        <v>265</v>
      </c>
      <c r="G169" s="300">
        <v>40</v>
      </c>
      <c r="H169" s="300">
        <f t="shared" ref="H169" si="179">+I169+J169</f>
        <v>0</v>
      </c>
      <c r="I169" s="300"/>
      <c r="J169" s="300"/>
      <c r="K169" s="342">
        <f t="shared" si="176"/>
        <v>305</v>
      </c>
      <c r="L169" s="298">
        <f t="shared" si="177"/>
        <v>265</v>
      </c>
      <c r="M169" s="326">
        <f t="shared" si="178"/>
        <v>40</v>
      </c>
      <c r="N169" s="295"/>
      <c r="O169" s="295"/>
    </row>
    <row r="170" spans="1:15" x14ac:dyDescent="0.2">
      <c r="A170" s="301" t="s">
        <v>190</v>
      </c>
      <c r="B170" s="301"/>
      <c r="C170" s="302"/>
      <c r="D170" s="332"/>
      <c r="E170" s="303">
        <f t="shared" ref="E170:M170" si="180">SUM(E168:E169)</f>
        <v>546739</v>
      </c>
      <c r="F170" s="303">
        <f t="shared" si="180"/>
        <v>546594</v>
      </c>
      <c r="G170" s="303">
        <f t="shared" si="180"/>
        <v>145</v>
      </c>
      <c r="H170" s="303">
        <f t="shared" si="180"/>
        <v>10920</v>
      </c>
      <c r="I170" s="303">
        <f t="shared" si="180"/>
        <v>9450</v>
      </c>
      <c r="J170" s="303">
        <f t="shared" si="180"/>
        <v>1470</v>
      </c>
      <c r="K170" s="341">
        <f t="shared" si="180"/>
        <v>557659</v>
      </c>
      <c r="L170" s="303">
        <f t="shared" si="180"/>
        <v>556044</v>
      </c>
      <c r="M170" s="304">
        <f t="shared" si="180"/>
        <v>1615</v>
      </c>
    </row>
    <row r="171" spans="1:15" x14ac:dyDescent="0.2">
      <c r="A171" s="299"/>
      <c r="B171" s="311"/>
      <c r="C171" s="299"/>
      <c r="D171" s="226"/>
      <c r="E171" s="312"/>
      <c r="F171" s="312"/>
      <c r="G171" s="312"/>
      <c r="H171" s="312"/>
      <c r="I171" s="312"/>
      <c r="J171" s="312"/>
      <c r="K171" s="349"/>
      <c r="L171" s="312"/>
      <c r="M171" s="327"/>
    </row>
    <row r="172" spans="1:15" x14ac:dyDescent="0.2">
      <c r="A172" s="299" t="str">
        <f>MID(C172,1,1)</f>
        <v>5</v>
      </c>
      <c r="B172" s="299" t="str">
        <f>MID(C172,1,2)</f>
        <v>55</v>
      </c>
      <c r="C172" s="299">
        <v>5511</v>
      </c>
      <c r="D172" s="226" t="s">
        <v>279</v>
      </c>
      <c r="E172" s="298">
        <f>+F172+G172</f>
        <v>5250</v>
      </c>
      <c r="F172" s="300">
        <v>5000</v>
      </c>
      <c r="G172" s="300">
        <v>250</v>
      </c>
      <c r="H172" s="300">
        <f t="shared" ref="H172:H173" si="181">+I172+J172</f>
        <v>46716</v>
      </c>
      <c r="I172" s="300">
        <v>46716</v>
      </c>
      <c r="J172" s="300"/>
      <c r="K172" s="342">
        <f t="shared" ref="K172:K174" si="182">+L172+M172</f>
        <v>51966</v>
      </c>
      <c r="L172" s="298">
        <f t="shared" ref="L172:M174" si="183">+F172+I172</f>
        <v>51716</v>
      </c>
      <c r="M172" s="326">
        <f t="shared" si="183"/>
        <v>250</v>
      </c>
    </row>
    <row r="173" spans="1:15" x14ac:dyDescent="0.2">
      <c r="A173" s="299" t="str">
        <f>MID(C173,1,1)</f>
        <v>5</v>
      </c>
      <c r="B173" s="299" t="str">
        <f>MID(C173,1,2)</f>
        <v>55</v>
      </c>
      <c r="C173" s="299">
        <v>5512</v>
      </c>
      <c r="D173" s="226" t="s">
        <v>280</v>
      </c>
      <c r="E173" s="298">
        <f>+F173+G173</f>
        <v>12877</v>
      </c>
      <c r="F173" s="300"/>
      <c r="G173" s="300">
        <v>12877</v>
      </c>
      <c r="H173" s="300">
        <f t="shared" si="181"/>
        <v>4850</v>
      </c>
      <c r="I173" s="300"/>
      <c r="J173" s="300">
        <v>4850</v>
      </c>
      <c r="K173" s="342">
        <f t="shared" si="182"/>
        <v>17727</v>
      </c>
      <c r="L173" s="298">
        <f t="shared" si="183"/>
        <v>0</v>
      </c>
      <c r="M173" s="326">
        <f t="shared" si="183"/>
        <v>17727</v>
      </c>
    </row>
    <row r="174" spans="1:15" x14ac:dyDescent="0.2">
      <c r="A174" s="299" t="str">
        <f>MID(C174,1,1)</f>
        <v>5</v>
      </c>
      <c r="B174" s="299" t="str">
        <f>MID(C174,1,2)</f>
        <v>55</v>
      </c>
      <c r="C174" s="299">
        <v>5519</v>
      </c>
      <c r="D174" s="226" t="s">
        <v>281</v>
      </c>
      <c r="E174" s="298">
        <f>+F174+G174</f>
        <v>563</v>
      </c>
      <c r="F174" s="300"/>
      <c r="G174" s="300">
        <v>563</v>
      </c>
      <c r="H174" s="300">
        <f>+I174+J174</f>
        <v>0</v>
      </c>
      <c r="I174" s="300"/>
      <c r="J174" s="300"/>
      <c r="K174" s="342">
        <f t="shared" si="182"/>
        <v>563</v>
      </c>
      <c r="L174" s="298">
        <f t="shared" si="183"/>
        <v>0</v>
      </c>
      <c r="M174" s="326">
        <f t="shared" si="183"/>
        <v>563</v>
      </c>
    </row>
    <row r="175" spans="1:15" x14ac:dyDescent="0.2">
      <c r="A175" s="301" t="s">
        <v>282</v>
      </c>
      <c r="B175" s="301"/>
      <c r="C175" s="302"/>
      <c r="D175" s="332"/>
      <c r="E175" s="303">
        <f t="shared" ref="E175:M175" si="184">SUM(E172:E174)</f>
        <v>18690</v>
      </c>
      <c r="F175" s="303">
        <f t="shared" si="184"/>
        <v>5000</v>
      </c>
      <c r="G175" s="303">
        <f t="shared" si="184"/>
        <v>13690</v>
      </c>
      <c r="H175" s="303">
        <f t="shared" si="184"/>
        <v>51566</v>
      </c>
      <c r="I175" s="303">
        <f t="shared" si="184"/>
        <v>46716</v>
      </c>
      <c r="J175" s="303">
        <f t="shared" si="184"/>
        <v>4850</v>
      </c>
      <c r="K175" s="341">
        <f t="shared" si="184"/>
        <v>70256</v>
      </c>
      <c r="L175" s="303">
        <f t="shared" si="184"/>
        <v>51716</v>
      </c>
      <c r="M175" s="304">
        <f t="shared" si="184"/>
        <v>18540</v>
      </c>
    </row>
    <row r="176" spans="1:15" ht="13.5" thickBot="1" x14ac:dyDescent="0.25">
      <c r="A176" s="306"/>
      <c r="B176" s="305"/>
      <c r="C176" s="306"/>
      <c r="D176" s="333"/>
      <c r="E176" s="307"/>
      <c r="F176" s="307"/>
      <c r="G176" s="307"/>
      <c r="H176" s="307"/>
      <c r="I176" s="307"/>
      <c r="J176" s="307"/>
      <c r="K176" s="343"/>
      <c r="L176" s="307"/>
      <c r="M176" s="344"/>
    </row>
    <row r="177" spans="1:13" ht="14.25" thickTop="1" thickBot="1" x14ac:dyDescent="0.25">
      <c r="A177" s="337" t="s">
        <v>192</v>
      </c>
      <c r="B177" s="313"/>
      <c r="C177" s="313"/>
      <c r="D177" s="338"/>
      <c r="E177" s="314">
        <f>+E166+E170+E175</f>
        <v>572905</v>
      </c>
      <c r="F177" s="314">
        <f>+F166+F170+F175</f>
        <v>557078</v>
      </c>
      <c r="G177" s="314">
        <f>+G175+G170+G166</f>
        <v>15827</v>
      </c>
      <c r="H177" s="314">
        <f>+H170+H175+H166</f>
        <v>62986</v>
      </c>
      <c r="I177" s="314">
        <f>+I170+I175+I166</f>
        <v>56666</v>
      </c>
      <c r="J177" s="314">
        <f>+J170+J175+J166</f>
        <v>6320</v>
      </c>
      <c r="K177" s="350">
        <f>+K166+K170+K175</f>
        <v>635891</v>
      </c>
      <c r="L177" s="314">
        <f>+L166+L170+L175</f>
        <v>613744</v>
      </c>
      <c r="M177" s="351">
        <f>+M166+M170+M175</f>
        <v>22147</v>
      </c>
    </row>
    <row r="178" spans="1:13" ht="13.5" thickTop="1" x14ac:dyDescent="0.2">
      <c r="A178" s="318"/>
      <c r="B178" s="319"/>
      <c r="C178" s="319"/>
      <c r="D178" s="340"/>
      <c r="E178" s="320"/>
      <c r="F178" s="320"/>
      <c r="G178" s="320"/>
      <c r="H178" s="320"/>
      <c r="I178" s="320"/>
      <c r="J178" s="320"/>
      <c r="K178" s="355"/>
      <c r="L178" s="320"/>
      <c r="M178" s="356"/>
    </row>
    <row r="179" spans="1:13" x14ac:dyDescent="0.2">
      <c r="A179" s="299" t="str">
        <f>MID(C179,1,1)</f>
        <v>6</v>
      </c>
      <c r="B179" s="299" t="str">
        <f>MID(C179,1,2)</f>
        <v>61</v>
      </c>
      <c r="C179" s="299">
        <v>6112</v>
      </c>
      <c r="D179" s="226" t="s">
        <v>283</v>
      </c>
      <c r="E179" s="300">
        <f>+F179+G179</f>
        <v>197368</v>
      </c>
      <c r="F179" s="300">
        <v>39142</v>
      </c>
      <c r="G179" s="300">
        <v>158226</v>
      </c>
      <c r="H179" s="300"/>
      <c r="I179" s="300"/>
      <c r="J179" s="300"/>
      <c r="K179" s="352">
        <f t="shared" ref="K179" si="185">+L179+M179</f>
        <v>197368</v>
      </c>
      <c r="L179" s="300">
        <f t="shared" ref="L179:L180" si="186">+F179+I179</f>
        <v>39142</v>
      </c>
      <c r="M179" s="328">
        <f t="shared" ref="M179:M180" si="187">+G179+J179</f>
        <v>158226</v>
      </c>
    </row>
    <row r="180" spans="1:13" x14ac:dyDescent="0.2">
      <c r="A180" s="299" t="str">
        <f>MID(C180,1,1)</f>
        <v>6</v>
      </c>
      <c r="B180" s="299" t="str">
        <f>MID(C180,1,2)</f>
        <v>61</v>
      </c>
      <c r="C180" s="299">
        <v>6114</v>
      </c>
      <c r="D180" s="226" t="s">
        <v>358</v>
      </c>
      <c r="E180" s="300">
        <f>+F180+G180</f>
        <v>232</v>
      </c>
      <c r="F180" s="300"/>
      <c r="G180" s="300">
        <v>232</v>
      </c>
      <c r="H180" s="300"/>
      <c r="I180" s="300"/>
      <c r="J180" s="300"/>
      <c r="K180" s="352">
        <f t="shared" ref="K180" si="188">+L180+M180</f>
        <v>232</v>
      </c>
      <c r="L180" s="298">
        <f t="shared" si="186"/>
        <v>0</v>
      </c>
      <c r="M180" s="326">
        <f t="shared" si="187"/>
        <v>232</v>
      </c>
    </row>
    <row r="181" spans="1:13" x14ac:dyDescent="0.2">
      <c r="A181" s="299" t="str">
        <f>MID(C181,1,1)</f>
        <v>6</v>
      </c>
      <c r="B181" s="299" t="str">
        <f>MID(C181,1,2)</f>
        <v>61</v>
      </c>
      <c r="C181" s="299">
        <v>6171</v>
      </c>
      <c r="D181" s="226" t="s">
        <v>193</v>
      </c>
      <c r="E181" s="298">
        <f>+F181+G181</f>
        <v>2283752</v>
      </c>
      <c r="F181" s="300">
        <v>1381666</v>
      </c>
      <c r="G181" s="300">
        <v>902086</v>
      </c>
      <c r="H181" s="300">
        <f>+I181+J181</f>
        <v>172252</v>
      </c>
      <c r="I181" s="300">
        <v>136564</v>
      </c>
      <c r="J181" s="300">
        <v>35688</v>
      </c>
      <c r="K181" s="342">
        <f>+L181+M181</f>
        <v>2456004</v>
      </c>
      <c r="L181" s="298">
        <f t="shared" ref="L181:M181" si="189">+F181+I181</f>
        <v>1518230</v>
      </c>
      <c r="M181" s="326">
        <f t="shared" si="189"/>
        <v>937774</v>
      </c>
    </row>
    <row r="182" spans="1:13" x14ac:dyDescent="0.2">
      <c r="A182" s="301" t="s">
        <v>411</v>
      </c>
      <c r="B182" s="301"/>
      <c r="C182" s="302"/>
      <c r="D182" s="332"/>
      <c r="E182" s="303">
        <f>SUM(E179:E181)</f>
        <v>2481352</v>
      </c>
      <c r="F182" s="303">
        <f>SUM(F179:F181)</f>
        <v>1420808</v>
      </c>
      <c r="G182" s="303">
        <f>SUM(G179:G181)</f>
        <v>1060544</v>
      </c>
      <c r="H182" s="303">
        <f>SUM(H179:H181)</f>
        <v>172252</v>
      </c>
      <c r="I182" s="303">
        <f>SUM(I179:I181)</f>
        <v>136564</v>
      </c>
      <c r="J182" s="303">
        <f>SUM(J181:J181)</f>
        <v>35688</v>
      </c>
      <c r="K182" s="341">
        <f>SUM(K179:K181)</f>
        <v>2653604</v>
      </c>
      <c r="L182" s="303">
        <f>SUM(L179:L181)</f>
        <v>1557372</v>
      </c>
      <c r="M182" s="304">
        <f>SUM(M179:M181)</f>
        <v>1096232</v>
      </c>
    </row>
    <row r="183" spans="1:13" x14ac:dyDescent="0.2">
      <c r="A183" s="299"/>
      <c r="B183" s="311"/>
      <c r="C183" s="299"/>
      <c r="D183" s="226"/>
      <c r="E183" s="312"/>
      <c r="F183" s="312"/>
      <c r="G183" s="312"/>
      <c r="H183" s="312"/>
      <c r="I183" s="312"/>
      <c r="J183" s="312"/>
      <c r="K183" s="349"/>
      <c r="L183" s="312"/>
      <c r="M183" s="327"/>
    </row>
    <row r="184" spans="1:13" x14ac:dyDescent="0.2">
      <c r="A184" s="299" t="str">
        <f>MID(C184,1,1)</f>
        <v>6</v>
      </c>
      <c r="B184" s="299" t="str">
        <f>MID(C184,1,2)</f>
        <v>62</v>
      </c>
      <c r="C184" s="299">
        <v>6211</v>
      </c>
      <c r="D184" s="226" t="s">
        <v>284</v>
      </c>
      <c r="E184" s="298">
        <f>+F184+G184</f>
        <v>7532</v>
      </c>
      <c r="F184" s="300">
        <v>7532</v>
      </c>
      <c r="G184" s="300"/>
      <c r="H184" s="300">
        <f>+I184+J184</f>
        <v>2500</v>
      </c>
      <c r="I184" s="300">
        <v>2500</v>
      </c>
      <c r="J184" s="300"/>
      <c r="K184" s="342">
        <f t="shared" ref="K184:K185" si="190">+L184+M184</f>
        <v>10032</v>
      </c>
      <c r="L184" s="298">
        <f t="shared" ref="L184:M185" si="191">+F184+I184</f>
        <v>10032</v>
      </c>
      <c r="M184" s="326">
        <f t="shared" si="191"/>
        <v>0</v>
      </c>
    </row>
    <row r="185" spans="1:13" x14ac:dyDescent="0.2">
      <c r="A185" s="299" t="str">
        <f>MID(C185,1,1)</f>
        <v>6</v>
      </c>
      <c r="B185" s="299" t="str">
        <f>MID(C185,1,2)</f>
        <v>62</v>
      </c>
      <c r="C185" s="299">
        <v>6223</v>
      </c>
      <c r="D185" s="226" t="s">
        <v>285</v>
      </c>
      <c r="E185" s="298">
        <f>+F185+G185</f>
        <v>10339</v>
      </c>
      <c r="F185" s="300">
        <v>10309</v>
      </c>
      <c r="G185" s="300">
        <v>30</v>
      </c>
      <c r="H185" s="300">
        <f>+I185+J185</f>
        <v>0</v>
      </c>
      <c r="I185" s="300"/>
      <c r="J185" s="300"/>
      <c r="K185" s="342">
        <f t="shared" si="190"/>
        <v>10339</v>
      </c>
      <c r="L185" s="298">
        <f t="shared" si="191"/>
        <v>10309</v>
      </c>
      <c r="M185" s="326">
        <f t="shared" si="191"/>
        <v>30</v>
      </c>
    </row>
    <row r="186" spans="1:13" x14ac:dyDescent="0.2">
      <c r="A186" s="301" t="s">
        <v>195</v>
      </c>
      <c r="B186" s="301"/>
      <c r="C186" s="302"/>
      <c r="D186" s="332"/>
      <c r="E186" s="303">
        <f t="shared" ref="E186:M186" si="192">SUM(E184:E185)</f>
        <v>17871</v>
      </c>
      <c r="F186" s="303">
        <f t="shared" si="192"/>
        <v>17841</v>
      </c>
      <c r="G186" s="303">
        <f t="shared" si="192"/>
        <v>30</v>
      </c>
      <c r="H186" s="303">
        <f t="shared" si="192"/>
        <v>2500</v>
      </c>
      <c r="I186" s="303">
        <f t="shared" si="192"/>
        <v>2500</v>
      </c>
      <c r="J186" s="303">
        <f t="shared" si="192"/>
        <v>0</v>
      </c>
      <c r="K186" s="341">
        <f t="shared" si="192"/>
        <v>20371</v>
      </c>
      <c r="L186" s="303">
        <f t="shared" si="192"/>
        <v>20341</v>
      </c>
      <c r="M186" s="304">
        <f t="shared" si="192"/>
        <v>30</v>
      </c>
    </row>
    <row r="187" spans="1:13" x14ac:dyDescent="0.2">
      <c r="A187" s="299"/>
      <c r="B187" s="311"/>
      <c r="C187" s="299"/>
      <c r="D187" s="226"/>
      <c r="E187" s="312"/>
      <c r="F187" s="312"/>
      <c r="G187" s="312"/>
      <c r="H187" s="312"/>
      <c r="I187" s="312"/>
      <c r="J187" s="312"/>
      <c r="K187" s="349"/>
      <c r="L187" s="312"/>
      <c r="M187" s="327"/>
    </row>
    <row r="188" spans="1:13" x14ac:dyDescent="0.2">
      <c r="A188" s="299" t="str">
        <f>MID(C188,1,1)</f>
        <v>6</v>
      </c>
      <c r="B188" s="299" t="str">
        <f>MID(C188,1,2)</f>
        <v>63</v>
      </c>
      <c r="C188" s="299">
        <v>6310</v>
      </c>
      <c r="D188" s="226" t="s">
        <v>196</v>
      </c>
      <c r="E188" s="298">
        <f>+F188+G188</f>
        <v>393131</v>
      </c>
      <c r="F188" s="300">
        <v>391000</v>
      </c>
      <c r="G188" s="300">
        <v>2131</v>
      </c>
      <c r="H188" s="300">
        <f>+I188+J188</f>
        <v>0</v>
      </c>
      <c r="I188" s="300"/>
      <c r="J188" s="300"/>
      <c r="K188" s="342">
        <f t="shared" ref="K188:K191" si="193">+L188+M188</f>
        <v>393131</v>
      </c>
      <c r="L188" s="298">
        <f t="shared" ref="L188:M191" si="194">+F188+I188</f>
        <v>391000</v>
      </c>
      <c r="M188" s="326">
        <f t="shared" si="194"/>
        <v>2131</v>
      </c>
    </row>
    <row r="189" spans="1:13" x14ac:dyDescent="0.2">
      <c r="A189" s="299" t="str">
        <f>MID(C189,1,1)</f>
        <v>6</v>
      </c>
      <c r="B189" s="299" t="str">
        <f>MID(C189,1,2)</f>
        <v>63</v>
      </c>
      <c r="C189" s="299">
        <v>6320</v>
      </c>
      <c r="D189" s="226" t="s">
        <v>286</v>
      </c>
      <c r="E189" s="298">
        <f>+F189+G189</f>
        <v>1757</v>
      </c>
      <c r="F189" s="300"/>
      <c r="G189" s="300">
        <v>1757</v>
      </c>
      <c r="H189" s="300"/>
      <c r="I189" s="300"/>
      <c r="J189" s="300"/>
      <c r="K189" s="342">
        <f t="shared" si="193"/>
        <v>1757</v>
      </c>
      <c r="L189" s="298">
        <f t="shared" si="194"/>
        <v>0</v>
      </c>
      <c r="M189" s="326">
        <f t="shared" si="194"/>
        <v>1757</v>
      </c>
    </row>
    <row r="190" spans="1:13" ht="15" x14ac:dyDescent="0.2">
      <c r="A190" s="299" t="str">
        <f>MID(C190,1,1)</f>
        <v>6</v>
      </c>
      <c r="B190" s="299" t="str">
        <f>MID(C190,1,2)</f>
        <v>63</v>
      </c>
      <c r="C190" s="299">
        <v>6330</v>
      </c>
      <c r="D190" s="226" t="s">
        <v>299</v>
      </c>
      <c r="E190" s="298">
        <f>+F190+G190-1960058-57209-474</f>
        <v>250</v>
      </c>
      <c r="F190" s="300">
        <v>1960058</v>
      </c>
      <c r="G190" s="300">
        <v>57933</v>
      </c>
      <c r="H190" s="300">
        <f>+I190+J190-266740</f>
        <v>0</v>
      </c>
      <c r="I190" s="300">
        <v>266740</v>
      </c>
      <c r="J190" s="300"/>
      <c r="K190" s="342">
        <f>+L190+M190-1960058-266740-57209-474</f>
        <v>250</v>
      </c>
      <c r="L190" s="298">
        <f t="shared" si="194"/>
        <v>2226798</v>
      </c>
      <c r="M190" s="326">
        <f t="shared" si="194"/>
        <v>57933</v>
      </c>
    </row>
    <row r="191" spans="1:13" x14ac:dyDescent="0.2">
      <c r="A191" s="299" t="str">
        <f>MID(C191,1,1)</f>
        <v>6</v>
      </c>
      <c r="B191" s="299" t="str">
        <f>MID(C191,1,2)</f>
        <v>63</v>
      </c>
      <c r="C191" s="299">
        <v>6399</v>
      </c>
      <c r="D191" s="226" t="s">
        <v>287</v>
      </c>
      <c r="E191" s="298">
        <f>+F191+G191</f>
        <v>270114</v>
      </c>
      <c r="F191" s="300">
        <v>250000</v>
      </c>
      <c r="G191" s="300">
        <v>20114</v>
      </c>
      <c r="H191" s="300"/>
      <c r="I191" s="300"/>
      <c r="J191" s="300"/>
      <c r="K191" s="342">
        <f t="shared" si="193"/>
        <v>270114</v>
      </c>
      <c r="L191" s="298">
        <f t="shared" si="194"/>
        <v>250000</v>
      </c>
      <c r="M191" s="326">
        <f t="shared" si="194"/>
        <v>20114</v>
      </c>
    </row>
    <row r="192" spans="1:13" x14ac:dyDescent="0.2">
      <c r="A192" s="301" t="s">
        <v>197</v>
      </c>
      <c r="B192" s="301"/>
      <c r="C192" s="302"/>
      <c r="D192" s="332"/>
      <c r="E192" s="303">
        <f>SUM(E188:E191)</f>
        <v>665252</v>
      </c>
      <c r="F192" s="303">
        <f>SUM(F188:F191)</f>
        <v>2601058</v>
      </c>
      <c r="G192" s="303">
        <f>SUM(G188:G191)</f>
        <v>81935</v>
      </c>
      <c r="H192" s="303">
        <f>SUM(H188:H191)</f>
        <v>0</v>
      </c>
      <c r="I192" s="303">
        <f t="shared" ref="I192:J192" si="195">SUM(I188:I191)</f>
        <v>266740</v>
      </c>
      <c r="J192" s="303">
        <f t="shared" si="195"/>
        <v>0</v>
      </c>
      <c r="K192" s="341">
        <f>SUM(K188:K191)</f>
        <v>665252</v>
      </c>
      <c r="L192" s="303">
        <f>SUM(L188:L191)</f>
        <v>2867798</v>
      </c>
      <c r="M192" s="304">
        <f>SUM(M188:M191)</f>
        <v>81935</v>
      </c>
    </row>
    <row r="193" spans="1:13" x14ac:dyDescent="0.2">
      <c r="A193" s="299"/>
      <c r="B193" s="311"/>
      <c r="C193" s="299"/>
      <c r="D193" s="226"/>
      <c r="E193" s="312"/>
      <c r="F193" s="312"/>
      <c r="G193" s="312"/>
      <c r="H193" s="312"/>
      <c r="I193" s="312"/>
      <c r="J193" s="312"/>
      <c r="K193" s="349"/>
      <c r="L193" s="312"/>
      <c r="M193" s="327"/>
    </row>
    <row r="194" spans="1:13" x14ac:dyDescent="0.2">
      <c r="A194" s="299" t="str">
        <f>MID(C194,1,1)</f>
        <v>6</v>
      </c>
      <c r="B194" s="299" t="str">
        <f>MID(C194,1,2)</f>
        <v>64</v>
      </c>
      <c r="C194" s="299">
        <v>6409</v>
      </c>
      <c r="D194" s="226" t="s">
        <v>288</v>
      </c>
      <c r="E194" s="298">
        <f>+F194+G194</f>
        <v>198935</v>
      </c>
      <c r="F194" s="300">
        <v>111962</v>
      </c>
      <c r="G194" s="300">
        <v>86973</v>
      </c>
      <c r="H194" s="298">
        <f>+I194+J194</f>
        <v>306</v>
      </c>
      <c r="I194" s="300"/>
      <c r="J194" s="300">
        <v>306</v>
      </c>
      <c r="K194" s="352">
        <f>+L194+M194</f>
        <v>199241</v>
      </c>
      <c r="L194" s="300">
        <f>+F194+I194</f>
        <v>111962</v>
      </c>
      <c r="M194" s="328">
        <f>+G194+J194</f>
        <v>87279</v>
      </c>
    </row>
    <row r="195" spans="1:13" x14ac:dyDescent="0.2">
      <c r="A195" s="301" t="s">
        <v>289</v>
      </c>
      <c r="B195" s="301"/>
      <c r="C195" s="302"/>
      <c r="D195" s="332"/>
      <c r="E195" s="303">
        <f t="shared" ref="E195:M195" si="196">SUM(E194:E194)</f>
        <v>198935</v>
      </c>
      <c r="F195" s="303">
        <f t="shared" si="196"/>
        <v>111962</v>
      </c>
      <c r="G195" s="303">
        <f t="shared" si="196"/>
        <v>86973</v>
      </c>
      <c r="H195" s="303">
        <f t="shared" si="196"/>
        <v>306</v>
      </c>
      <c r="I195" s="303">
        <f t="shared" si="196"/>
        <v>0</v>
      </c>
      <c r="J195" s="303">
        <f t="shared" si="196"/>
        <v>306</v>
      </c>
      <c r="K195" s="341">
        <f t="shared" si="196"/>
        <v>199241</v>
      </c>
      <c r="L195" s="303">
        <f t="shared" si="196"/>
        <v>111962</v>
      </c>
      <c r="M195" s="304">
        <f t="shared" si="196"/>
        <v>87279</v>
      </c>
    </row>
    <row r="196" spans="1:13" ht="13.5" thickBot="1" x14ac:dyDescent="0.25">
      <c r="A196" s="306"/>
      <c r="B196" s="305"/>
      <c r="C196" s="306"/>
      <c r="D196" s="333"/>
      <c r="E196" s="307"/>
      <c r="F196" s="307"/>
      <c r="G196" s="307"/>
      <c r="H196" s="307"/>
      <c r="I196" s="307"/>
      <c r="J196" s="307"/>
      <c r="K196" s="307"/>
      <c r="L196" s="307"/>
      <c r="M196" s="307"/>
    </row>
    <row r="197" spans="1:13" ht="14.25" thickTop="1" thickBot="1" x14ac:dyDescent="0.25">
      <c r="A197" s="321" t="s">
        <v>198</v>
      </c>
      <c r="B197" s="308"/>
      <c r="C197" s="308"/>
      <c r="D197" s="334"/>
      <c r="E197" s="309">
        <f>+E182+E186+E192+E195</f>
        <v>3363410</v>
      </c>
      <c r="F197" s="309">
        <f>+F182+F186+F192+F195</f>
        <v>4151669</v>
      </c>
      <c r="G197" s="309">
        <f>+G195+G192+G186+G182</f>
        <v>1229482</v>
      </c>
      <c r="H197" s="309">
        <f t="shared" ref="H197:M197" si="197">+H182+H186+H192+H195</f>
        <v>175058</v>
      </c>
      <c r="I197" s="309">
        <f t="shared" si="197"/>
        <v>405804</v>
      </c>
      <c r="J197" s="309">
        <f t="shared" si="197"/>
        <v>35994</v>
      </c>
      <c r="K197" s="309">
        <f t="shared" si="197"/>
        <v>3538468</v>
      </c>
      <c r="L197" s="309">
        <f t="shared" si="197"/>
        <v>4557473</v>
      </c>
      <c r="M197" s="309">
        <f t="shared" si="197"/>
        <v>1265476</v>
      </c>
    </row>
    <row r="198" spans="1:13" ht="14.25" thickTop="1" thickBot="1" x14ac:dyDescent="0.25">
      <c r="A198" s="318"/>
      <c r="B198" s="319"/>
      <c r="C198" s="319"/>
      <c r="D198" s="340"/>
      <c r="E198" s="320"/>
      <c r="F198" s="320"/>
      <c r="G198" s="320"/>
      <c r="H198" s="320"/>
      <c r="I198" s="320"/>
      <c r="J198" s="320"/>
      <c r="K198" s="320"/>
      <c r="L198" s="320"/>
      <c r="M198" s="320"/>
    </row>
    <row r="199" spans="1:13" ht="17.25" customHeight="1" thickTop="1" thickBot="1" x14ac:dyDescent="0.3">
      <c r="A199" s="357" t="s">
        <v>300</v>
      </c>
      <c r="B199" s="322"/>
      <c r="C199" s="322"/>
      <c r="D199" s="358"/>
      <c r="E199" s="323">
        <f>+E197+E177+E159+E138+E48+E15</f>
        <v>13515030</v>
      </c>
      <c r="F199" s="323">
        <f>+F197+F177+F159+F138+F48+F15</f>
        <v>12821920</v>
      </c>
      <c r="G199" s="323">
        <f>+G197+G177+G159+G138+G48+G15</f>
        <v>2710851</v>
      </c>
      <c r="H199" s="323">
        <f>+H197+H177+H159+H138+H48+H15</f>
        <v>6299008</v>
      </c>
      <c r="I199" s="323">
        <f>I15+I48+I138+I159+I177+I197</f>
        <v>5272947</v>
      </c>
      <c r="J199" s="323">
        <f>+J197+J177+J159+J138+J48+J15</f>
        <v>1292801</v>
      </c>
      <c r="K199" s="323">
        <f>+K197+K177+K159+K138+K48+K15</f>
        <v>19814038</v>
      </c>
      <c r="L199" s="323">
        <f>+L197+L177+L159+L138+L48+L15</f>
        <v>18094867</v>
      </c>
      <c r="M199" s="323">
        <f>+M197+M177+M159+M138+M48+M15</f>
        <v>4003652</v>
      </c>
    </row>
    <row r="200" spans="1:13" ht="11.25" customHeight="1" thickTop="1" x14ac:dyDescent="0.2">
      <c r="G200" s="295"/>
      <c r="H200" s="295"/>
      <c r="I200" s="295"/>
      <c r="J200" s="295"/>
      <c r="L200" s="295"/>
    </row>
    <row r="201" spans="1:13" x14ac:dyDescent="0.2">
      <c r="A201" s="292" t="s">
        <v>123</v>
      </c>
      <c r="F201" s="295"/>
      <c r="G201" s="295"/>
      <c r="H201" s="295"/>
      <c r="I201" s="295"/>
      <c r="J201" s="295"/>
      <c r="K201" s="295"/>
      <c r="M201" s="295"/>
    </row>
    <row r="202" spans="1:13" x14ac:dyDescent="0.2">
      <c r="F202" s="295"/>
      <c r="G202" s="295"/>
      <c r="H202" s="295"/>
      <c r="I202" s="295"/>
      <c r="K202" s="295"/>
      <c r="L202" s="295"/>
    </row>
    <row r="203" spans="1:13" x14ac:dyDescent="0.2">
      <c r="G203" s="295"/>
      <c r="I203" s="295"/>
    </row>
    <row r="204" spans="1:13" x14ac:dyDescent="0.2">
      <c r="G204" s="295"/>
    </row>
    <row r="205" spans="1:13" x14ac:dyDescent="0.2">
      <c r="G205" s="295"/>
      <c r="H205" s="295"/>
    </row>
    <row r="206" spans="1:13" x14ac:dyDescent="0.2">
      <c r="G206" s="295"/>
    </row>
    <row r="207" spans="1:13" x14ac:dyDescent="0.2">
      <c r="G207" s="295"/>
    </row>
    <row r="208" spans="1:13" x14ac:dyDescent="0.2">
      <c r="G208" s="295"/>
    </row>
    <row r="209" spans="7:7" x14ac:dyDescent="0.2">
      <c r="G209" s="295"/>
    </row>
    <row r="210" spans="7:7" x14ac:dyDescent="0.2">
      <c r="G210" s="295"/>
    </row>
    <row r="211" spans="7:7" x14ac:dyDescent="0.2">
      <c r="G211" s="295"/>
    </row>
    <row r="212" spans="7:7" x14ac:dyDescent="0.2">
      <c r="G212" s="295"/>
    </row>
    <row r="213" spans="7:7" x14ac:dyDescent="0.2">
      <c r="G213" s="295"/>
    </row>
    <row r="214" spans="7:7" x14ac:dyDescent="0.2">
      <c r="G214" s="295"/>
    </row>
    <row r="215" spans="7:7" x14ac:dyDescent="0.2">
      <c r="G215" s="295"/>
    </row>
    <row r="216" spans="7:7" x14ac:dyDescent="0.2">
      <c r="G216" s="295"/>
    </row>
    <row r="217" spans="7:7" x14ac:dyDescent="0.2">
      <c r="G217" s="295"/>
    </row>
    <row r="218" spans="7:7" x14ac:dyDescent="0.2">
      <c r="G218" s="295"/>
    </row>
    <row r="219" spans="7:7" x14ac:dyDescent="0.2">
      <c r="G219" s="295"/>
    </row>
    <row r="220" spans="7:7" x14ac:dyDescent="0.2">
      <c r="G220" s="295"/>
    </row>
    <row r="221" spans="7:7" x14ac:dyDescent="0.2">
      <c r="G221" s="295"/>
    </row>
    <row r="222" spans="7:7" x14ac:dyDescent="0.2">
      <c r="G222" s="295"/>
    </row>
    <row r="223" spans="7:7" x14ac:dyDescent="0.2">
      <c r="G223" s="295"/>
    </row>
    <row r="224" spans="7:7" x14ac:dyDescent="0.2">
      <c r="G224" s="295"/>
    </row>
    <row r="225" spans="7:7" x14ac:dyDescent="0.2">
      <c r="G225" s="295"/>
    </row>
    <row r="226" spans="7:7" x14ac:dyDescent="0.2">
      <c r="G226" s="295"/>
    </row>
    <row r="227" spans="7:7" x14ac:dyDescent="0.2">
      <c r="G227" s="295"/>
    </row>
    <row r="228" spans="7:7" x14ac:dyDescent="0.2">
      <c r="G228" s="295"/>
    </row>
    <row r="229" spans="7:7" x14ac:dyDescent="0.2">
      <c r="G229" s="295"/>
    </row>
    <row r="230" spans="7:7" x14ac:dyDescent="0.2">
      <c r="G230" s="295"/>
    </row>
    <row r="231" spans="7:7" x14ac:dyDescent="0.2">
      <c r="G231" s="295"/>
    </row>
    <row r="232" spans="7:7" x14ac:dyDescent="0.2">
      <c r="G232" s="295"/>
    </row>
    <row r="233" spans="7:7" x14ac:dyDescent="0.2">
      <c r="G233" s="295"/>
    </row>
    <row r="234" spans="7:7" x14ac:dyDescent="0.2">
      <c r="G234" s="295"/>
    </row>
    <row r="235" spans="7:7" x14ac:dyDescent="0.2">
      <c r="G235" s="295"/>
    </row>
    <row r="236" spans="7:7" x14ac:dyDescent="0.2">
      <c r="G236" s="295"/>
    </row>
    <row r="237" spans="7:7" x14ac:dyDescent="0.2">
      <c r="G237" s="295"/>
    </row>
    <row r="238" spans="7:7" x14ac:dyDescent="0.2">
      <c r="G238" s="295"/>
    </row>
    <row r="239" spans="7:7" x14ac:dyDescent="0.2">
      <c r="G239" s="295"/>
    </row>
    <row r="240" spans="7:7" x14ac:dyDescent="0.2">
      <c r="G240" s="295"/>
    </row>
    <row r="241" spans="7:7" x14ac:dyDescent="0.2">
      <c r="G241" s="295"/>
    </row>
    <row r="242" spans="7:7" x14ac:dyDescent="0.2">
      <c r="G242" s="295"/>
    </row>
    <row r="243" spans="7:7" x14ac:dyDescent="0.2">
      <c r="G243" s="295"/>
    </row>
    <row r="244" spans="7:7" x14ac:dyDescent="0.2">
      <c r="G244" s="295"/>
    </row>
    <row r="245" spans="7:7" x14ac:dyDescent="0.2">
      <c r="G245" s="295"/>
    </row>
    <row r="246" spans="7:7" x14ac:dyDescent="0.2">
      <c r="G246" s="295"/>
    </row>
    <row r="247" spans="7:7" x14ac:dyDescent="0.2">
      <c r="G247" s="295"/>
    </row>
    <row r="248" spans="7:7" x14ac:dyDescent="0.2">
      <c r="G248" s="295"/>
    </row>
    <row r="249" spans="7:7" x14ac:dyDescent="0.2">
      <c r="G249" s="295"/>
    </row>
    <row r="250" spans="7:7" x14ac:dyDescent="0.2">
      <c r="G250" s="295"/>
    </row>
    <row r="251" spans="7:7" x14ac:dyDescent="0.2">
      <c r="G251" s="295"/>
    </row>
    <row r="252" spans="7:7" x14ac:dyDescent="0.2">
      <c r="G252" s="295"/>
    </row>
    <row r="253" spans="7:7" x14ac:dyDescent="0.2">
      <c r="G253" s="295"/>
    </row>
    <row r="254" spans="7:7" x14ac:dyDescent="0.2">
      <c r="G254" s="295"/>
    </row>
    <row r="255" spans="7:7" x14ac:dyDescent="0.2">
      <c r="G255" s="295"/>
    </row>
    <row r="256" spans="7:7" x14ac:dyDescent="0.2">
      <c r="G256" s="295"/>
    </row>
    <row r="257" spans="7:7" x14ac:dyDescent="0.2">
      <c r="G257" s="295"/>
    </row>
    <row r="258" spans="7:7" x14ac:dyDescent="0.2">
      <c r="G258" s="295"/>
    </row>
    <row r="259" spans="7:7" x14ac:dyDescent="0.2">
      <c r="G259" s="295"/>
    </row>
    <row r="260" spans="7:7" x14ac:dyDescent="0.2">
      <c r="G260" s="295"/>
    </row>
    <row r="261" spans="7:7" x14ac:dyDescent="0.2">
      <c r="G261" s="295"/>
    </row>
    <row r="262" spans="7:7" x14ac:dyDescent="0.2">
      <c r="G262" s="295"/>
    </row>
    <row r="263" spans="7:7" x14ac:dyDescent="0.2">
      <c r="G263" s="295"/>
    </row>
    <row r="264" spans="7:7" x14ac:dyDescent="0.2">
      <c r="G264" s="295"/>
    </row>
    <row r="265" spans="7:7" x14ac:dyDescent="0.2">
      <c r="G265" s="295"/>
    </row>
    <row r="266" spans="7:7" x14ac:dyDescent="0.2">
      <c r="G266" s="295"/>
    </row>
    <row r="267" spans="7:7" x14ac:dyDescent="0.2">
      <c r="G267" s="295"/>
    </row>
    <row r="268" spans="7:7" x14ac:dyDescent="0.2">
      <c r="G268" s="295"/>
    </row>
    <row r="269" spans="7:7" x14ac:dyDescent="0.2">
      <c r="G269" s="295"/>
    </row>
    <row r="270" spans="7:7" x14ac:dyDescent="0.2">
      <c r="G270" s="295"/>
    </row>
    <row r="271" spans="7:7" x14ac:dyDescent="0.2">
      <c r="G271" s="295"/>
    </row>
    <row r="272" spans="7:7" x14ac:dyDescent="0.2">
      <c r="G272" s="295"/>
    </row>
    <row r="273" spans="7:7" x14ac:dyDescent="0.2">
      <c r="G273" s="295"/>
    </row>
    <row r="274" spans="7:7" x14ac:dyDescent="0.2">
      <c r="G274" s="295"/>
    </row>
    <row r="275" spans="7:7" x14ac:dyDescent="0.2">
      <c r="G275" s="295"/>
    </row>
    <row r="276" spans="7:7" x14ac:dyDescent="0.2">
      <c r="G276" s="295"/>
    </row>
    <row r="277" spans="7:7" x14ac:dyDescent="0.2">
      <c r="G277" s="295"/>
    </row>
    <row r="278" spans="7:7" x14ac:dyDescent="0.2">
      <c r="G278" s="295"/>
    </row>
    <row r="279" spans="7:7" x14ac:dyDescent="0.2">
      <c r="G279" s="295"/>
    </row>
    <row r="280" spans="7:7" x14ac:dyDescent="0.2">
      <c r="G280" s="295"/>
    </row>
    <row r="281" spans="7:7" x14ac:dyDescent="0.2">
      <c r="G281" s="295"/>
    </row>
    <row r="282" spans="7:7" x14ac:dyDescent="0.2">
      <c r="G282" s="295"/>
    </row>
    <row r="283" spans="7:7" x14ac:dyDescent="0.2">
      <c r="G283" s="295"/>
    </row>
    <row r="284" spans="7:7" x14ac:dyDescent="0.2">
      <c r="G284" s="295"/>
    </row>
    <row r="285" spans="7:7" x14ac:dyDescent="0.2">
      <c r="G285" s="295"/>
    </row>
    <row r="286" spans="7:7" x14ac:dyDescent="0.2">
      <c r="G286" s="295"/>
    </row>
    <row r="287" spans="7:7" x14ac:dyDescent="0.2">
      <c r="G287" s="295"/>
    </row>
    <row r="288" spans="7:7" x14ac:dyDescent="0.2">
      <c r="G288" s="295"/>
    </row>
    <row r="289" spans="7:7" x14ac:dyDescent="0.2">
      <c r="G289" s="295"/>
    </row>
    <row r="290" spans="7:7" x14ac:dyDescent="0.2">
      <c r="G290" s="295"/>
    </row>
    <row r="291" spans="7:7" x14ac:dyDescent="0.2">
      <c r="G291" s="295"/>
    </row>
    <row r="292" spans="7:7" x14ac:dyDescent="0.2">
      <c r="G292" s="295"/>
    </row>
    <row r="293" spans="7:7" x14ac:dyDescent="0.2">
      <c r="G293" s="295"/>
    </row>
    <row r="294" spans="7:7" x14ac:dyDescent="0.2">
      <c r="G294" s="295"/>
    </row>
    <row r="295" spans="7:7" x14ac:dyDescent="0.2">
      <c r="G295" s="295"/>
    </row>
    <row r="296" spans="7:7" x14ac:dyDescent="0.2">
      <c r="G296" s="295"/>
    </row>
    <row r="297" spans="7:7" x14ac:dyDescent="0.2">
      <c r="G297" s="295"/>
    </row>
    <row r="298" spans="7:7" x14ac:dyDescent="0.2">
      <c r="G298" s="295"/>
    </row>
    <row r="299" spans="7:7" x14ac:dyDescent="0.2">
      <c r="G299" s="295"/>
    </row>
    <row r="300" spans="7:7" x14ac:dyDescent="0.2">
      <c r="G300" s="295"/>
    </row>
    <row r="301" spans="7:7" x14ac:dyDescent="0.2">
      <c r="G301" s="295"/>
    </row>
    <row r="302" spans="7:7" x14ac:dyDescent="0.2">
      <c r="G302" s="295"/>
    </row>
    <row r="303" spans="7:7" x14ac:dyDescent="0.2">
      <c r="G303" s="295"/>
    </row>
    <row r="304" spans="7:7" x14ac:dyDescent="0.2">
      <c r="G304" s="295"/>
    </row>
    <row r="305" spans="7:7" x14ac:dyDescent="0.2">
      <c r="G305" s="295"/>
    </row>
    <row r="306" spans="7:7" x14ac:dyDescent="0.2">
      <c r="G306" s="295"/>
    </row>
    <row r="307" spans="7:7" x14ac:dyDescent="0.2">
      <c r="G307" s="295"/>
    </row>
    <row r="308" spans="7:7" x14ac:dyDescent="0.2">
      <c r="G308" s="295"/>
    </row>
    <row r="309" spans="7:7" x14ac:dyDescent="0.2">
      <c r="G309" s="295"/>
    </row>
    <row r="310" spans="7:7" x14ac:dyDescent="0.2">
      <c r="G310" s="295"/>
    </row>
    <row r="311" spans="7:7" x14ac:dyDescent="0.2">
      <c r="G311" s="295"/>
    </row>
    <row r="312" spans="7:7" x14ac:dyDescent="0.2">
      <c r="G312" s="295"/>
    </row>
    <row r="313" spans="7:7" x14ac:dyDescent="0.2">
      <c r="G313" s="295"/>
    </row>
    <row r="314" spans="7:7" x14ac:dyDescent="0.2">
      <c r="G314" s="295"/>
    </row>
    <row r="315" spans="7:7" x14ac:dyDescent="0.2">
      <c r="G315" s="295"/>
    </row>
    <row r="316" spans="7:7" x14ac:dyDescent="0.2">
      <c r="G316" s="295"/>
    </row>
    <row r="317" spans="7:7" x14ac:dyDescent="0.2">
      <c r="G317" s="295"/>
    </row>
    <row r="318" spans="7:7" x14ac:dyDescent="0.2">
      <c r="G318" s="295"/>
    </row>
    <row r="319" spans="7:7" x14ac:dyDescent="0.2">
      <c r="G319" s="295"/>
    </row>
    <row r="320" spans="7:7" x14ac:dyDescent="0.2">
      <c r="G320" s="295"/>
    </row>
    <row r="321" spans="7:7" x14ac:dyDescent="0.2">
      <c r="G321" s="295"/>
    </row>
    <row r="322" spans="7:7" x14ac:dyDescent="0.2">
      <c r="G322" s="295"/>
    </row>
    <row r="323" spans="7:7" x14ac:dyDescent="0.2">
      <c r="G323" s="295"/>
    </row>
    <row r="324" spans="7:7" x14ac:dyDescent="0.2">
      <c r="G324" s="295"/>
    </row>
    <row r="325" spans="7:7" x14ac:dyDescent="0.2">
      <c r="G325" s="295"/>
    </row>
    <row r="326" spans="7:7" x14ac:dyDescent="0.2">
      <c r="G326" s="295"/>
    </row>
    <row r="327" spans="7:7" x14ac:dyDescent="0.2">
      <c r="G327" s="295"/>
    </row>
    <row r="328" spans="7:7" x14ac:dyDescent="0.2">
      <c r="G328" s="295"/>
    </row>
    <row r="329" spans="7:7" x14ac:dyDescent="0.2">
      <c r="G329" s="295"/>
    </row>
    <row r="330" spans="7:7" x14ac:dyDescent="0.2">
      <c r="G330" s="295"/>
    </row>
    <row r="331" spans="7:7" x14ac:dyDescent="0.2">
      <c r="G331" s="295"/>
    </row>
    <row r="332" spans="7:7" x14ac:dyDescent="0.2">
      <c r="G332" s="295"/>
    </row>
    <row r="333" spans="7:7" x14ac:dyDescent="0.2">
      <c r="G333" s="295"/>
    </row>
    <row r="334" spans="7:7" x14ac:dyDescent="0.2">
      <c r="G334" s="295"/>
    </row>
    <row r="335" spans="7:7" x14ac:dyDescent="0.2">
      <c r="G335" s="295"/>
    </row>
    <row r="336" spans="7:7" x14ac:dyDescent="0.2">
      <c r="G336" s="295"/>
    </row>
    <row r="337" spans="7:7" x14ac:dyDescent="0.2">
      <c r="G337" s="295"/>
    </row>
    <row r="338" spans="7:7" x14ac:dyDescent="0.2">
      <c r="G338" s="295"/>
    </row>
    <row r="339" spans="7:7" x14ac:dyDescent="0.2">
      <c r="G339" s="295"/>
    </row>
    <row r="340" spans="7:7" x14ac:dyDescent="0.2">
      <c r="G340" s="295"/>
    </row>
    <row r="341" spans="7:7" x14ac:dyDescent="0.2">
      <c r="G341" s="295"/>
    </row>
    <row r="342" spans="7:7" x14ac:dyDescent="0.2">
      <c r="G342" s="295"/>
    </row>
    <row r="343" spans="7:7" x14ac:dyDescent="0.2">
      <c r="G343" s="295"/>
    </row>
    <row r="344" spans="7:7" x14ac:dyDescent="0.2">
      <c r="G344" s="295"/>
    </row>
    <row r="345" spans="7:7" x14ac:dyDescent="0.2">
      <c r="G345" s="295"/>
    </row>
    <row r="346" spans="7:7" x14ac:dyDescent="0.2">
      <c r="G346" s="295"/>
    </row>
    <row r="347" spans="7:7" x14ac:dyDescent="0.2">
      <c r="G347" s="295"/>
    </row>
    <row r="348" spans="7:7" x14ac:dyDescent="0.2">
      <c r="G348" s="295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  <rowBreaks count="4" manualBreakCount="4">
    <brk id="48" max="12" man="1"/>
    <brk id="89" max="12" man="1"/>
    <brk id="130" max="12" man="1"/>
    <brk id="170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L1:AB68"/>
  <sheetViews>
    <sheetView zoomScaleNormal="100" zoomScaleSheetLayoutView="100" workbookViewId="0">
      <selection activeCell="V41" sqref="V41"/>
    </sheetView>
  </sheetViews>
  <sheetFormatPr defaultRowHeight="12.75" x14ac:dyDescent="0.2"/>
  <cols>
    <col min="11" max="11" width="14.85546875" customWidth="1"/>
    <col min="13" max="13" width="47.28515625" bestFit="1" customWidth="1"/>
    <col min="14" max="14" width="15.85546875" customWidth="1"/>
    <col min="15" max="15" width="13.42578125" bestFit="1" customWidth="1"/>
    <col min="16" max="16" width="12.28515625" bestFit="1" customWidth="1"/>
    <col min="17" max="17" width="17.28515625" bestFit="1" customWidth="1"/>
    <col min="22" max="22" width="47.28515625" bestFit="1" customWidth="1"/>
    <col min="23" max="24" width="14.42578125" bestFit="1" customWidth="1"/>
    <col min="25" max="25" width="13.42578125" bestFit="1" customWidth="1"/>
  </cols>
  <sheetData>
    <row r="1" spans="13:14" x14ac:dyDescent="0.2">
      <c r="M1" s="366" t="s">
        <v>90</v>
      </c>
      <c r="N1" s="366" t="s">
        <v>303</v>
      </c>
    </row>
    <row r="2" spans="13:14" x14ac:dyDescent="0.2">
      <c r="M2" t="s">
        <v>108</v>
      </c>
      <c r="N2" s="367">
        <f t="shared" ref="N2:N14" si="0">INDEX($N$20:$N$43,MATCH(M2,$M$20:$M$43,0),1)</f>
        <v>364.89100000000002</v>
      </c>
    </row>
    <row r="3" spans="13:14" x14ac:dyDescent="0.2">
      <c r="M3" t="s">
        <v>454</v>
      </c>
      <c r="N3" s="367">
        <f t="shared" si="0"/>
        <v>532.39499999999998</v>
      </c>
    </row>
    <row r="4" spans="13:14" x14ac:dyDescent="0.2">
      <c r="M4" t="s">
        <v>115</v>
      </c>
      <c r="N4" s="367">
        <f t="shared" si="0"/>
        <v>557.65899999999999</v>
      </c>
    </row>
    <row r="5" spans="13:14" x14ac:dyDescent="0.2">
      <c r="M5" t="s">
        <v>210</v>
      </c>
      <c r="N5" s="367">
        <f t="shared" si="0"/>
        <v>665.25199999999995</v>
      </c>
    </row>
    <row r="6" spans="13:14" x14ac:dyDescent="0.2">
      <c r="M6" t="s">
        <v>435</v>
      </c>
      <c r="N6" s="367">
        <f t="shared" si="0"/>
        <v>925.12699999999995</v>
      </c>
    </row>
    <row r="7" spans="13:14" x14ac:dyDescent="0.2">
      <c r="M7" t="s">
        <v>101</v>
      </c>
      <c r="N7" s="367">
        <f t="shared" si="0"/>
        <v>975.76700000000005</v>
      </c>
    </row>
    <row r="8" spans="13:14" x14ac:dyDescent="0.2">
      <c r="M8" t="s">
        <v>103</v>
      </c>
      <c r="N8" s="367">
        <f t="shared" si="0"/>
        <v>1081.5740000000001</v>
      </c>
    </row>
    <row r="9" spans="13:14" x14ac:dyDescent="0.2">
      <c r="M9" t="s">
        <v>112</v>
      </c>
      <c r="N9" s="367">
        <f t="shared" si="0"/>
        <v>1083.0519999999999</v>
      </c>
    </row>
    <row r="10" spans="13:14" x14ac:dyDescent="0.2">
      <c r="M10" t="s">
        <v>403</v>
      </c>
      <c r="N10" s="367">
        <f t="shared" si="0"/>
        <v>1412.441</v>
      </c>
    </row>
    <row r="11" spans="13:14" x14ac:dyDescent="0.2">
      <c r="M11" t="s">
        <v>105</v>
      </c>
      <c r="N11" s="367">
        <f t="shared" si="0"/>
        <v>1815.0940000000001</v>
      </c>
    </row>
    <row r="12" spans="13:14" x14ac:dyDescent="0.2">
      <c r="M12" t="s">
        <v>330</v>
      </c>
      <c r="N12" s="367">
        <f t="shared" si="0"/>
        <v>2340.8989999999999</v>
      </c>
    </row>
    <row r="13" spans="13:14" x14ac:dyDescent="0.2">
      <c r="M13" t="s">
        <v>118</v>
      </c>
      <c r="N13" s="367">
        <f t="shared" si="0"/>
        <v>2653.6039999999998</v>
      </c>
    </row>
    <row r="14" spans="13:14" x14ac:dyDescent="0.2">
      <c r="M14" t="s">
        <v>99</v>
      </c>
      <c r="N14" s="367">
        <f t="shared" si="0"/>
        <v>5406.2830000000004</v>
      </c>
    </row>
    <row r="15" spans="13:14" x14ac:dyDescent="0.2">
      <c r="M15" s="365" t="s">
        <v>88</v>
      </c>
      <c r="N15" s="368">
        <f>SUM(N2:N14)</f>
        <v>19814.038</v>
      </c>
    </row>
    <row r="16" spans="13:14" x14ac:dyDescent="0.2">
      <c r="M16" s="365"/>
      <c r="N16" s="368"/>
    </row>
    <row r="17" spans="12:28" x14ac:dyDescent="0.2">
      <c r="N17" s="367"/>
      <c r="Q17" s="369" t="s">
        <v>307</v>
      </c>
      <c r="R17" s="369"/>
      <c r="S17" s="369"/>
    </row>
    <row r="18" spans="12:28" x14ac:dyDescent="0.2">
      <c r="N18" s="367"/>
      <c r="Q18" s="388">
        <f>Výdaje!L32</f>
        <v>379466</v>
      </c>
      <c r="R18" s="369"/>
      <c r="S18" s="369"/>
    </row>
    <row r="19" spans="12:28" x14ac:dyDescent="0.2">
      <c r="M19" s="366" t="s">
        <v>90</v>
      </c>
      <c r="N19" s="366" t="s">
        <v>304</v>
      </c>
      <c r="O19" s="366" t="s">
        <v>305</v>
      </c>
      <c r="P19" s="366" t="s">
        <v>306</v>
      </c>
      <c r="Q19" s="372" t="s">
        <v>308</v>
      </c>
      <c r="R19" s="372" t="s">
        <v>309</v>
      </c>
      <c r="S19" s="372" t="s">
        <v>310</v>
      </c>
      <c r="W19" t="s">
        <v>304</v>
      </c>
      <c r="X19" t="s">
        <v>305</v>
      </c>
      <c r="Y19" t="s">
        <v>306</v>
      </c>
    </row>
    <row r="20" spans="12:28" x14ac:dyDescent="0.2">
      <c r="L20" s="380">
        <v>22</v>
      </c>
      <c r="M20" t="s">
        <v>99</v>
      </c>
      <c r="N20" s="367">
        <f>W20/1000</f>
        <v>5406.2830000000004</v>
      </c>
      <c r="O20" s="367">
        <f t="shared" ref="O20:P20" si="1">X20/1000</f>
        <v>5080.0820000000003</v>
      </c>
      <c r="P20" s="367">
        <f t="shared" si="1"/>
        <v>326.20100000000002</v>
      </c>
      <c r="Q20" s="370">
        <f t="shared" ref="Q20:Q33" si="2">N20*1000000/$Q$18</f>
        <v>14247.081424949798</v>
      </c>
      <c r="R20" s="370">
        <f>2750000000/Q18</f>
        <v>7247.0260840233377</v>
      </c>
      <c r="S20" s="370">
        <f>Q20-R20</f>
        <v>7000.0553409264603</v>
      </c>
      <c r="U20" t="s">
        <v>98</v>
      </c>
      <c r="V20" t="s">
        <v>99</v>
      </c>
      <c r="W20" s="375">
        <f>X20+Y20</f>
        <v>5406283</v>
      </c>
      <c r="X20" s="375">
        <f>Výdaje!J11</f>
        <v>5080082</v>
      </c>
      <c r="Y20" s="375">
        <f>Výdaje!K11</f>
        <v>326201</v>
      </c>
      <c r="Z20" s="367">
        <f>W20/1000</f>
        <v>5406.2830000000004</v>
      </c>
      <c r="AA20" s="367">
        <f t="shared" ref="AA20:AB36" si="3">X20/1000</f>
        <v>5080.0820000000003</v>
      </c>
      <c r="AB20" s="367">
        <f t="shared" si="3"/>
        <v>326.20100000000002</v>
      </c>
    </row>
    <row r="21" spans="12:28" x14ac:dyDescent="0.2">
      <c r="L21" s="380">
        <v>61</v>
      </c>
      <c r="M21" t="s">
        <v>118</v>
      </c>
      <c r="N21" s="367">
        <f>W22/1000</f>
        <v>2653.6039999999998</v>
      </c>
      <c r="O21" s="367">
        <f>X22/1000</f>
        <v>1557.3720000000001</v>
      </c>
      <c r="P21" s="367">
        <f>Y22/1000</f>
        <v>1096.232</v>
      </c>
      <c r="Q21" s="370">
        <f>N21*1000000/$Q$18</f>
        <v>6992.9954198795149</v>
      </c>
      <c r="R21" s="369"/>
      <c r="S21" s="369"/>
      <c r="U21" t="s">
        <v>109</v>
      </c>
      <c r="V21" t="s">
        <v>204</v>
      </c>
      <c r="W21" s="375">
        <f>X21+Y21</f>
        <v>2340899</v>
      </c>
      <c r="X21" s="375">
        <f>Výdaje!J18</f>
        <v>1499843</v>
      </c>
      <c r="Y21" s="375">
        <f>Výdaje!K18</f>
        <v>841056</v>
      </c>
      <c r="Z21" s="367">
        <f>W21/1000</f>
        <v>2340.8989999999999</v>
      </c>
      <c r="AA21" s="367">
        <f>X21/1000</f>
        <v>1499.8430000000001</v>
      </c>
      <c r="AB21" s="367">
        <f>Y21/1000</f>
        <v>841.05600000000004</v>
      </c>
    </row>
    <row r="22" spans="12:28" x14ac:dyDescent="0.2">
      <c r="L22" s="380">
        <v>36</v>
      </c>
      <c r="M22" t="s">
        <v>330</v>
      </c>
      <c r="N22" s="367">
        <f>W21/1000</f>
        <v>2340.8989999999999</v>
      </c>
      <c r="O22" s="367">
        <f>X21/1000</f>
        <v>1499.8430000000001</v>
      </c>
      <c r="P22" s="367">
        <f>Y21/1000</f>
        <v>841.05600000000004</v>
      </c>
      <c r="Q22" s="370">
        <f t="shared" si="2"/>
        <v>6168.9294956596905</v>
      </c>
      <c r="R22" s="369"/>
      <c r="S22" s="369"/>
      <c r="U22" t="s">
        <v>117</v>
      </c>
      <c r="V22" t="s">
        <v>118</v>
      </c>
      <c r="W22" s="375">
        <f>X22+Y22</f>
        <v>2653604</v>
      </c>
      <c r="X22" s="375">
        <f>Výdaje!J26</f>
        <v>1557372</v>
      </c>
      <c r="Y22" s="375">
        <f>Výdaje!K26</f>
        <v>1096232</v>
      </c>
      <c r="Z22" s="367">
        <f>W22/1000</f>
        <v>2653.6039999999998</v>
      </c>
      <c r="AA22" s="367">
        <f>X22/1000</f>
        <v>1557.3720000000001</v>
      </c>
      <c r="AB22" s="367">
        <f>Y22/1000</f>
        <v>1096.232</v>
      </c>
    </row>
    <row r="23" spans="12:28" x14ac:dyDescent="0.2">
      <c r="L23" s="380">
        <v>33</v>
      </c>
      <c r="M23" t="s">
        <v>105</v>
      </c>
      <c r="N23" s="367">
        <f>W23/1000</f>
        <v>1815.0940000000001</v>
      </c>
      <c r="O23" s="367">
        <f>X23/1000</f>
        <v>1702.8219999999999</v>
      </c>
      <c r="P23" s="367">
        <f>Y23/1000</f>
        <v>112.27200000000001</v>
      </c>
      <c r="Q23" s="370">
        <f t="shared" si="2"/>
        <v>4783.2849319833658</v>
      </c>
      <c r="R23" s="369"/>
      <c r="S23" s="369"/>
      <c r="U23" t="s">
        <v>104</v>
      </c>
      <c r="V23" t="s">
        <v>105</v>
      </c>
      <c r="W23" s="375">
        <f t="shared" ref="W23:W30" si="4">X23+Y23</f>
        <v>1815094</v>
      </c>
      <c r="X23" s="375">
        <f>Výdaje!J15</f>
        <v>1702822</v>
      </c>
      <c r="Y23" s="375">
        <f>Výdaje!K15</f>
        <v>112272</v>
      </c>
      <c r="Z23" s="367">
        <f t="shared" ref="Z23:Z30" si="5">W23/1000</f>
        <v>1815.0940000000001</v>
      </c>
      <c r="AA23" s="367">
        <f t="shared" si="3"/>
        <v>1702.8219999999999</v>
      </c>
      <c r="AB23" s="367">
        <f t="shared" si="3"/>
        <v>112.27200000000001</v>
      </c>
    </row>
    <row r="24" spans="12:28" x14ac:dyDescent="0.2">
      <c r="L24" s="380">
        <v>34</v>
      </c>
      <c r="M24" t="s">
        <v>403</v>
      </c>
      <c r="N24" s="367">
        <f>W24/1000</f>
        <v>1412.441</v>
      </c>
      <c r="O24" s="367">
        <f t="shared" ref="O24:P25" si="6">X24/1000</f>
        <v>1296.0540000000001</v>
      </c>
      <c r="P24" s="367">
        <f t="shared" si="6"/>
        <v>116.387</v>
      </c>
      <c r="Q24" s="370">
        <f t="shared" si="2"/>
        <v>3722.1806433250936</v>
      </c>
      <c r="R24" s="369"/>
      <c r="S24" s="369"/>
      <c r="U24" t="s">
        <v>106</v>
      </c>
      <c r="V24" t="s">
        <v>403</v>
      </c>
      <c r="W24" s="375">
        <f>X24+Y24</f>
        <v>1412441</v>
      </c>
      <c r="X24" s="375">
        <f>Výdaje!J16</f>
        <v>1296054</v>
      </c>
      <c r="Y24" s="375">
        <f>Výdaje!K16</f>
        <v>116387</v>
      </c>
      <c r="Z24" s="367">
        <f t="shared" ref="Z24:AB25" si="7">W24/1000</f>
        <v>1412.441</v>
      </c>
      <c r="AA24" s="367">
        <f t="shared" si="7"/>
        <v>1296.0540000000001</v>
      </c>
      <c r="AB24" s="367">
        <f t="shared" si="7"/>
        <v>116.387</v>
      </c>
    </row>
    <row r="25" spans="12:28" x14ac:dyDescent="0.2">
      <c r="L25" s="380">
        <v>37</v>
      </c>
      <c r="M25" t="s">
        <v>112</v>
      </c>
      <c r="N25" s="367">
        <f>W25/1000</f>
        <v>1083.0519999999999</v>
      </c>
      <c r="O25" s="367">
        <f t="shared" si="6"/>
        <v>738.322</v>
      </c>
      <c r="P25" s="367">
        <f t="shared" si="6"/>
        <v>344.73</v>
      </c>
      <c r="Q25" s="370">
        <f t="shared" si="2"/>
        <v>2854.1476706740523</v>
      </c>
      <c r="R25" s="369"/>
      <c r="S25" s="369"/>
      <c r="U25" t="s">
        <v>111</v>
      </c>
      <c r="V25" t="s">
        <v>112</v>
      </c>
      <c r="W25" s="375">
        <f>X25+Y25</f>
        <v>1083052</v>
      </c>
      <c r="X25" s="375">
        <f>Výdaje!J19</f>
        <v>738322</v>
      </c>
      <c r="Y25" s="375">
        <f>Výdaje!K19</f>
        <v>344730</v>
      </c>
      <c r="Z25" s="367">
        <f t="shared" si="7"/>
        <v>1083.0519999999999</v>
      </c>
      <c r="AA25" s="367">
        <f t="shared" si="7"/>
        <v>738.322</v>
      </c>
      <c r="AB25" s="367">
        <f t="shared" si="7"/>
        <v>344.73</v>
      </c>
    </row>
    <row r="26" spans="12:28" x14ac:dyDescent="0.2">
      <c r="L26" s="380" t="s">
        <v>102</v>
      </c>
      <c r="M26" t="s">
        <v>103</v>
      </c>
      <c r="N26" s="367">
        <f>W27/1000</f>
        <v>1081.5740000000001</v>
      </c>
      <c r="O26" s="367">
        <f>X27/1000</f>
        <v>162.947</v>
      </c>
      <c r="P26" s="367">
        <f>Y27/1000</f>
        <v>918.62699999999995</v>
      </c>
      <c r="Q26" s="370">
        <f t="shared" si="2"/>
        <v>2850.2527235641664</v>
      </c>
      <c r="R26" s="369"/>
      <c r="S26" s="369"/>
      <c r="U26" t="s">
        <v>100</v>
      </c>
      <c r="V26" t="s">
        <v>101</v>
      </c>
      <c r="W26" s="375">
        <f>X26+Y26</f>
        <v>975767</v>
      </c>
      <c r="X26" s="375">
        <f>Výdaje!J12</f>
        <v>969081</v>
      </c>
      <c r="Y26" s="375">
        <f>Výdaje!K12</f>
        <v>6686</v>
      </c>
      <c r="Z26" s="367">
        <f t="shared" ref="Z26:AB27" si="8">W26/1000</f>
        <v>975.76700000000005</v>
      </c>
      <c r="AA26" s="367">
        <f t="shared" si="8"/>
        <v>969.08100000000002</v>
      </c>
      <c r="AB26" s="367">
        <f t="shared" si="8"/>
        <v>6.6859999999999999</v>
      </c>
    </row>
    <row r="27" spans="12:28" x14ac:dyDescent="0.2">
      <c r="L27" s="380">
        <v>23</v>
      </c>
      <c r="M27" t="s">
        <v>101</v>
      </c>
      <c r="N27" s="367">
        <f>W26/1000</f>
        <v>975.76700000000005</v>
      </c>
      <c r="O27" s="367">
        <f>X26/1000</f>
        <v>969.08100000000002</v>
      </c>
      <c r="P27" s="367">
        <f>Y26/1000</f>
        <v>6.6859999999999999</v>
      </c>
      <c r="Q27" s="370">
        <f>N27*1000000/$Q$18</f>
        <v>2571.4214185197093</v>
      </c>
      <c r="R27" s="369"/>
      <c r="S27" s="369"/>
      <c r="U27" t="s">
        <v>102</v>
      </c>
      <c r="V27" t="s">
        <v>103</v>
      </c>
      <c r="W27" s="375">
        <f>X27+Y27</f>
        <v>1081574</v>
      </c>
      <c r="X27" s="375">
        <f>Výdaje!J14</f>
        <v>162947</v>
      </c>
      <c r="Y27" s="375">
        <f>Výdaje!K14</f>
        <v>918627</v>
      </c>
      <c r="Z27" s="367">
        <f t="shared" si="8"/>
        <v>1081.5740000000001</v>
      </c>
      <c r="AA27" s="367">
        <f t="shared" si="8"/>
        <v>162.947</v>
      </c>
      <c r="AB27" s="367">
        <f t="shared" si="8"/>
        <v>918.62699999999995</v>
      </c>
    </row>
    <row r="28" spans="12:28" x14ac:dyDescent="0.2">
      <c r="L28" s="380">
        <v>43</v>
      </c>
      <c r="M28" t="s">
        <v>435</v>
      </c>
      <c r="N28" s="367">
        <f>W28/1000</f>
        <v>925.12699999999995</v>
      </c>
      <c r="O28" s="367">
        <f>X28/1000</f>
        <v>904.81799999999998</v>
      </c>
      <c r="P28" s="367">
        <f>Y28/1000</f>
        <v>20.309000000000001</v>
      </c>
      <c r="Q28" s="370">
        <f t="shared" si="2"/>
        <v>2437.9707272851851</v>
      </c>
      <c r="R28" s="369"/>
      <c r="S28" s="369"/>
      <c r="U28" t="s">
        <v>113</v>
      </c>
      <c r="V28" t="s">
        <v>434</v>
      </c>
      <c r="W28" s="375">
        <f t="shared" si="4"/>
        <v>925127</v>
      </c>
      <c r="X28" s="375">
        <f>Výdaje!J22</f>
        <v>904818</v>
      </c>
      <c r="Y28" s="375">
        <f>Výdaje!K22</f>
        <v>20309</v>
      </c>
      <c r="Z28" s="367">
        <f t="shared" si="5"/>
        <v>925.12699999999995</v>
      </c>
      <c r="AA28" s="367">
        <f t="shared" si="3"/>
        <v>904.81799999999998</v>
      </c>
      <c r="AB28" s="367">
        <f t="shared" si="3"/>
        <v>20.309000000000001</v>
      </c>
    </row>
    <row r="29" spans="12:28" x14ac:dyDescent="0.2">
      <c r="L29" s="380">
        <v>63</v>
      </c>
      <c r="M29" t="s">
        <v>210</v>
      </c>
      <c r="N29" s="367">
        <f>W31/1000</f>
        <v>665.25199999999995</v>
      </c>
      <c r="O29" s="367">
        <f>X31/1000</f>
        <v>2867.7979999999998</v>
      </c>
      <c r="P29" s="367">
        <f>Y31/1000</f>
        <v>81.935000000000002</v>
      </c>
      <c r="Q29" s="370">
        <f>N29*1000000/$Q$18</f>
        <v>1753.1267623449796</v>
      </c>
      <c r="R29" s="369"/>
      <c r="S29" s="369"/>
    </row>
    <row r="30" spans="12:28" x14ac:dyDescent="0.2">
      <c r="L30" s="380">
        <v>53</v>
      </c>
      <c r="M30" t="s">
        <v>115</v>
      </c>
      <c r="N30" s="367">
        <f>W30/1000</f>
        <v>557.65899999999999</v>
      </c>
      <c r="O30" s="367">
        <f>X30/1000</f>
        <v>556.04399999999998</v>
      </c>
      <c r="P30" s="367">
        <f>Y30/1000</f>
        <v>1.615</v>
      </c>
      <c r="Q30" s="370">
        <f t="shared" si="2"/>
        <v>1469.5888432692257</v>
      </c>
      <c r="R30" s="369"/>
      <c r="S30" s="369"/>
      <c r="U30" t="s">
        <v>114</v>
      </c>
      <c r="V30" t="s">
        <v>115</v>
      </c>
      <c r="W30" s="375">
        <f t="shared" si="4"/>
        <v>557659</v>
      </c>
      <c r="X30" s="375">
        <f>Výdaje!J24</f>
        <v>556044</v>
      </c>
      <c r="Y30" s="375">
        <f>Výdaje!K24</f>
        <v>1615</v>
      </c>
      <c r="Z30" s="367">
        <f t="shared" si="5"/>
        <v>557.65899999999999</v>
      </c>
      <c r="AA30" s="367">
        <f t="shared" si="3"/>
        <v>556.04399999999998</v>
      </c>
      <c r="AB30" s="367">
        <f t="shared" si="3"/>
        <v>1.615</v>
      </c>
    </row>
    <row r="31" spans="12:28" x14ac:dyDescent="0.2">
      <c r="L31" s="380"/>
      <c r="M31" t="s">
        <v>454</v>
      </c>
      <c r="N31" s="367">
        <f>N43</f>
        <v>532.39499999999998</v>
      </c>
      <c r="O31" s="367">
        <f>O43</f>
        <v>415.59099999999995</v>
      </c>
      <c r="P31" s="367">
        <f>P43</f>
        <v>116.80399999999999</v>
      </c>
      <c r="Q31" s="370">
        <f>N31*1000000/$Q$18</f>
        <v>1403.0110734558564</v>
      </c>
      <c r="R31" s="369"/>
      <c r="S31" s="369"/>
      <c r="U31" t="s">
        <v>121</v>
      </c>
      <c r="V31" t="s">
        <v>210</v>
      </c>
      <c r="W31" s="375">
        <f>'B a K'!E192</f>
        <v>665252</v>
      </c>
      <c r="X31" s="375">
        <f>Výdaje!J28</f>
        <v>2867798</v>
      </c>
      <c r="Y31" s="375">
        <f>Výdaje!K28</f>
        <v>81935</v>
      </c>
      <c r="Z31" s="367">
        <f t="shared" ref="Z31:AB32" si="9">W31/1000</f>
        <v>665.25199999999995</v>
      </c>
      <c r="AA31" s="367">
        <f t="shared" si="9"/>
        <v>2867.7979999999998</v>
      </c>
      <c r="AB31" s="367">
        <f t="shared" si="9"/>
        <v>81.935000000000002</v>
      </c>
    </row>
    <row r="32" spans="12:28" x14ac:dyDescent="0.2">
      <c r="L32" s="380">
        <v>35</v>
      </c>
      <c r="M32" t="s">
        <v>108</v>
      </c>
      <c r="N32" s="367">
        <f>W32/1000</f>
        <v>364.89100000000002</v>
      </c>
      <c r="O32" s="367">
        <f t="shared" ref="O32" si="10">X32/1000</f>
        <v>344.09300000000002</v>
      </c>
      <c r="P32" s="367">
        <f t="shared" ref="P32" si="11">Y32/1000</f>
        <v>20.797999999999998</v>
      </c>
      <c r="Q32" s="370">
        <f t="shared" si="2"/>
        <v>961.59076175467635</v>
      </c>
      <c r="R32" s="369"/>
      <c r="S32" s="369"/>
      <c r="U32" t="s">
        <v>107</v>
      </c>
      <c r="V32" t="s">
        <v>108</v>
      </c>
      <c r="W32" s="375">
        <f>X32+Y32</f>
        <v>364891</v>
      </c>
      <c r="X32" s="375">
        <f>Výdaje!J17</f>
        <v>344093</v>
      </c>
      <c r="Y32" s="375">
        <f>Výdaje!K17</f>
        <v>20798</v>
      </c>
      <c r="Z32" s="367">
        <f t="shared" si="9"/>
        <v>364.89100000000002</v>
      </c>
      <c r="AA32" s="367">
        <f t="shared" si="9"/>
        <v>344.09300000000002</v>
      </c>
      <c r="AB32" s="367">
        <f t="shared" si="9"/>
        <v>20.797999999999998</v>
      </c>
    </row>
    <row r="33" spans="12:28" x14ac:dyDescent="0.2">
      <c r="L33" s="380"/>
      <c r="M33" s="365" t="s">
        <v>88</v>
      </c>
      <c r="N33" s="368">
        <f>SUM(N20:N32)</f>
        <v>19814.038000000004</v>
      </c>
      <c r="O33" s="368">
        <f>SUM(O20:O32)</f>
        <v>18094.867000000002</v>
      </c>
      <c r="P33" s="368">
        <f>SUM(P20:P32)</f>
        <v>4003.652</v>
      </c>
      <c r="Q33" s="373">
        <f t="shared" si="2"/>
        <v>52215.581896665324</v>
      </c>
      <c r="R33" s="369"/>
      <c r="S33" s="369"/>
      <c r="W33" s="375"/>
      <c r="X33" s="375"/>
      <c r="Y33" s="375"/>
      <c r="Z33" s="367"/>
      <c r="AA33" s="367"/>
      <c r="AB33" s="367"/>
    </row>
    <row r="34" spans="12:28" x14ac:dyDescent="0.2">
      <c r="L34" s="380">
        <v>64</v>
      </c>
      <c r="M34" s="369" t="s">
        <v>212</v>
      </c>
      <c r="N34" s="370">
        <f>W34/1000</f>
        <v>199.24100000000001</v>
      </c>
      <c r="O34" s="370">
        <f t="shared" ref="O34:P42" si="12">X34/1000</f>
        <v>111.962</v>
      </c>
      <c r="P34" s="370">
        <f t="shared" si="12"/>
        <v>87.278999999999996</v>
      </c>
      <c r="U34" t="s">
        <v>211</v>
      </c>
      <c r="V34" t="s">
        <v>212</v>
      </c>
      <c r="W34" s="375">
        <f t="shared" ref="W34:W42" si="13">X34+Y34</f>
        <v>199241</v>
      </c>
      <c r="X34" s="375">
        <f>Výdaje!J29</f>
        <v>111962</v>
      </c>
      <c r="Y34" s="375">
        <f>Výdaje!K29</f>
        <v>87279</v>
      </c>
      <c r="Z34" s="367">
        <f t="shared" ref="Z34:Z42" si="14">W34/1000</f>
        <v>199.24100000000001</v>
      </c>
      <c r="AA34" s="367">
        <f t="shared" si="3"/>
        <v>111.962</v>
      </c>
      <c r="AB34" s="367">
        <f t="shared" si="3"/>
        <v>87.278999999999996</v>
      </c>
    </row>
    <row r="35" spans="12:28" x14ac:dyDescent="0.2">
      <c r="L35" s="380">
        <v>21</v>
      </c>
      <c r="M35" s="369" t="s">
        <v>97</v>
      </c>
      <c r="N35" s="370">
        <f t="shared" ref="N35:N42" si="15">W35/1000</f>
        <v>108.67</v>
      </c>
      <c r="O35" s="370">
        <f t="shared" si="12"/>
        <v>101.075</v>
      </c>
      <c r="P35" s="370">
        <f t="shared" si="12"/>
        <v>7.5949999999999998</v>
      </c>
      <c r="U35" t="s">
        <v>96</v>
      </c>
      <c r="V35" t="s">
        <v>97</v>
      </c>
      <c r="W35" s="375">
        <f t="shared" si="13"/>
        <v>108670</v>
      </c>
      <c r="X35" s="375">
        <f>Výdaje!J10</f>
        <v>101075</v>
      </c>
      <c r="Y35" s="375">
        <f>Výdaje!K10</f>
        <v>7595</v>
      </c>
      <c r="Z35" s="367">
        <f t="shared" si="14"/>
        <v>108.67</v>
      </c>
      <c r="AA35" s="367">
        <f>X35/1000</f>
        <v>101.075</v>
      </c>
      <c r="AB35" s="367">
        <f>Y35/1000</f>
        <v>7.5949999999999998</v>
      </c>
    </row>
    <row r="36" spans="12:28" x14ac:dyDescent="0.2">
      <c r="L36" s="380">
        <v>55</v>
      </c>
      <c r="M36" s="369" t="s">
        <v>116</v>
      </c>
      <c r="N36" s="370">
        <f t="shared" si="15"/>
        <v>70.256</v>
      </c>
      <c r="O36" s="370">
        <f t="shared" si="12"/>
        <v>51.716000000000001</v>
      </c>
      <c r="P36" s="370">
        <f t="shared" si="12"/>
        <v>18.54</v>
      </c>
      <c r="U36" t="s">
        <v>209</v>
      </c>
      <c r="V36" t="s">
        <v>116</v>
      </c>
      <c r="W36" s="375">
        <f t="shared" si="13"/>
        <v>70256</v>
      </c>
      <c r="X36" s="375">
        <f>Výdaje!J25</f>
        <v>51716</v>
      </c>
      <c r="Y36" s="375">
        <f>Výdaje!K25</f>
        <v>18540</v>
      </c>
      <c r="Z36" s="367">
        <f t="shared" si="14"/>
        <v>70.256</v>
      </c>
      <c r="AA36" s="367">
        <f t="shared" si="3"/>
        <v>51.716000000000001</v>
      </c>
      <c r="AB36" s="367">
        <f t="shared" si="3"/>
        <v>18.54</v>
      </c>
    </row>
    <row r="37" spans="12:28" x14ac:dyDescent="0.2">
      <c r="L37" s="380">
        <v>39</v>
      </c>
      <c r="M37" s="369" t="s">
        <v>207</v>
      </c>
      <c r="N37" s="370">
        <f t="shared" si="15"/>
        <v>54.752000000000002</v>
      </c>
      <c r="O37" s="370">
        <f t="shared" si="12"/>
        <v>53.991</v>
      </c>
      <c r="P37" s="370">
        <f t="shared" si="12"/>
        <v>0.76100000000000001</v>
      </c>
      <c r="U37" s="382">
        <v>39</v>
      </c>
      <c r="V37" t="s">
        <v>207</v>
      </c>
      <c r="W37" s="375">
        <f t="shared" si="13"/>
        <v>54752</v>
      </c>
      <c r="X37" s="375">
        <f>Výdaje!J21</f>
        <v>53991</v>
      </c>
      <c r="Y37" s="375">
        <f>Výdaje!K21</f>
        <v>761</v>
      </c>
      <c r="Z37" s="367">
        <f t="shared" si="14"/>
        <v>54.752000000000002</v>
      </c>
      <c r="AA37" s="367">
        <f t="shared" ref="AA37:AA42" si="16">X37/1000</f>
        <v>53.991</v>
      </c>
      <c r="AB37" s="367">
        <f t="shared" ref="AB37:AB42" si="17">Y37/1000</f>
        <v>0.76100000000000001</v>
      </c>
    </row>
    <row r="38" spans="12:28" x14ac:dyDescent="0.2">
      <c r="L38" s="380">
        <v>38</v>
      </c>
      <c r="M38" s="369" t="s">
        <v>206</v>
      </c>
      <c r="N38" s="370">
        <f t="shared" si="15"/>
        <v>42.05</v>
      </c>
      <c r="O38" s="370">
        <f t="shared" si="12"/>
        <v>42.05</v>
      </c>
      <c r="P38" s="370">
        <f t="shared" si="12"/>
        <v>0</v>
      </c>
      <c r="U38" t="s">
        <v>205</v>
      </c>
      <c r="V38" t="s">
        <v>206</v>
      </c>
      <c r="W38" s="375">
        <f t="shared" si="13"/>
        <v>42050</v>
      </c>
      <c r="X38" s="375">
        <f>Výdaje!J20</f>
        <v>42050</v>
      </c>
      <c r="Y38" s="375">
        <f>Výdaje!K20</f>
        <v>0</v>
      </c>
      <c r="Z38" s="367">
        <f t="shared" si="14"/>
        <v>42.05</v>
      </c>
      <c r="AA38" s="367">
        <f>X38/1000</f>
        <v>42.05</v>
      </c>
      <c r="AB38" s="367">
        <f>Y38/1000</f>
        <v>0</v>
      </c>
    </row>
    <row r="39" spans="12:28" x14ac:dyDescent="0.2">
      <c r="L39" s="380">
        <v>62</v>
      </c>
      <c r="M39" s="369" t="s">
        <v>120</v>
      </c>
      <c r="N39" s="370">
        <f t="shared" si="15"/>
        <v>20.370999999999999</v>
      </c>
      <c r="O39" s="370">
        <f t="shared" si="12"/>
        <v>20.341000000000001</v>
      </c>
      <c r="P39" s="370">
        <f t="shared" si="12"/>
        <v>0.03</v>
      </c>
      <c r="U39" t="s">
        <v>119</v>
      </c>
      <c r="V39" t="s">
        <v>120</v>
      </c>
      <c r="W39" s="375">
        <f t="shared" si="13"/>
        <v>20371</v>
      </c>
      <c r="X39" s="375">
        <f>Výdaje!J27</f>
        <v>20341</v>
      </c>
      <c r="Y39" s="375">
        <f>Výdaje!K27</f>
        <v>30</v>
      </c>
      <c r="Z39" s="367">
        <f t="shared" si="14"/>
        <v>20.370999999999999</v>
      </c>
      <c r="AA39" s="367">
        <f t="shared" si="16"/>
        <v>20.341000000000001</v>
      </c>
      <c r="AB39" s="367">
        <f t="shared" si="17"/>
        <v>0.03</v>
      </c>
    </row>
    <row r="40" spans="12:28" x14ac:dyDescent="0.2">
      <c r="L40" s="380">
        <v>10</v>
      </c>
      <c r="M40" s="369" t="s">
        <v>95</v>
      </c>
      <c r="N40" s="370">
        <f t="shared" si="15"/>
        <v>29.065000000000001</v>
      </c>
      <c r="O40" s="370">
        <f t="shared" si="12"/>
        <v>28.472000000000001</v>
      </c>
      <c r="P40" s="370">
        <f t="shared" si="12"/>
        <v>0.59299999999999997</v>
      </c>
      <c r="U40" t="s">
        <v>94</v>
      </c>
      <c r="V40" t="s">
        <v>95</v>
      </c>
      <c r="W40" s="375">
        <f t="shared" si="13"/>
        <v>29065</v>
      </c>
      <c r="X40" s="375">
        <f>Výdaje!J9</f>
        <v>28472</v>
      </c>
      <c r="Y40" s="375">
        <f>Výdaje!K9</f>
        <v>593</v>
      </c>
      <c r="Z40" s="367">
        <f t="shared" si="14"/>
        <v>29.065000000000001</v>
      </c>
      <c r="AA40" s="367">
        <f t="shared" si="16"/>
        <v>28.472000000000001</v>
      </c>
      <c r="AB40" s="367">
        <f t="shared" si="17"/>
        <v>0.59299999999999997</v>
      </c>
    </row>
    <row r="41" spans="12:28" x14ac:dyDescent="0.2">
      <c r="L41" s="380">
        <v>52</v>
      </c>
      <c r="M41" s="369" t="s">
        <v>457</v>
      </c>
      <c r="N41" s="370">
        <f t="shared" si="15"/>
        <v>7.976</v>
      </c>
      <c r="O41" s="370">
        <f t="shared" si="12"/>
        <v>5.984</v>
      </c>
      <c r="P41" s="370">
        <f t="shared" si="12"/>
        <v>1.992</v>
      </c>
      <c r="U41" t="s">
        <v>208</v>
      </c>
      <c r="V41" t="s">
        <v>457</v>
      </c>
      <c r="W41" s="375">
        <f t="shared" si="13"/>
        <v>7976</v>
      </c>
      <c r="X41" s="375">
        <f>Výdaje!J23</f>
        <v>5984</v>
      </c>
      <c r="Y41" s="375">
        <f>Výdaje!K23</f>
        <v>1992</v>
      </c>
      <c r="Z41" s="367">
        <f t="shared" si="14"/>
        <v>7.976</v>
      </c>
      <c r="AA41" s="367">
        <f t="shared" si="16"/>
        <v>5.984</v>
      </c>
      <c r="AB41" s="367">
        <f t="shared" si="17"/>
        <v>1.992</v>
      </c>
    </row>
    <row r="42" spans="12:28" x14ac:dyDescent="0.2">
      <c r="L42" s="380">
        <v>24</v>
      </c>
      <c r="M42" s="369" t="s">
        <v>318</v>
      </c>
      <c r="N42" s="370">
        <f t="shared" si="15"/>
        <v>1.4E-2</v>
      </c>
      <c r="O42" s="370">
        <f t="shared" si="12"/>
        <v>0</v>
      </c>
      <c r="P42" s="370">
        <f t="shared" si="12"/>
        <v>1.4E-2</v>
      </c>
      <c r="U42" s="382">
        <v>24</v>
      </c>
      <c r="V42" t="s">
        <v>318</v>
      </c>
      <c r="W42" s="375">
        <f t="shared" si="13"/>
        <v>14</v>
      </c>
      <c r="X42" s="375">
        <f>Výdaje!J13</f>
        <v>0</v>
      </c>
      <c r="Y42" s="375">
        <f>Výdaje!K13</f>
        <v>14</v>
      </c>
      <c r="Z42" s="367">
        <f t="shared" si="14"/>
        <v>1.4E-2</v>
      </c>
      <c r="AA42" s="367">
        <f t="shared" si="16"/>
        <v>0</v>
      </c>
      <c r="AB42" s="367">
        <f t="shared" si="17"/>
        <v>1.4E-2</v>
      </c>
    </row>
    <row r="43" spans="12:28" x14ac:dyDescent="0.2">
      <c r="M43" s="369" t="s">
        <v>88</v>
      </c>
      <c r="N43" s="371">
        <f>O43+P43</f>
        <v>532.39499999999998</v>
      </c>
      <c r="O43" s="371">
        <f>SUM(O34:O42)</f>
        <v>415.59099999999995</v>
      </c>
      <c r="P43" s="371">
        <f>SUM(P34:P42)</f>
        <v>116.80399999999999</v>
      </c>
      <c r="W43" s="387">
        <f>SUM(W20:W42)</f>
        <v>19814038</v>
      </c>
      <c r="X43" s="387">
        <f>SUM(X20:X42)</f>
        <v>18094867</v>
      </c>
      <c r="Y43" s="387">
        <f>SUM(Y20:Y42)</f>
        <v>4003652</v>
      </c>
    </row>
    <row r="44" spans="12:28" x14ac:dyDescent="0.2">
      <c r="N44" s="368"/>
      <c r="O44" s="368"/>
      <c r="P44" s="368"/>
    </row>
    <row r="46" spans="12:28" x14ac:dyDescent="0.2">
      <c r="N46" s="368"/>
      <c r="O46" s="368"/>
      <c r="P46" s="368"/>
    </row>
    <row r="68" spans="23:25" x14ac:dyDescent="0.2">
      <c r="W68" s="368"/>
      <c r="X68" s="368"/>
      <c r="Y68" s="368"/>
    </row>
  </sheetData>
  <sortState xmlns:xlrd2="http://schemas.microsoft.com/office/spreadsheetml/2017/richdata2" ref="M2:N15">
    <sortCondition ref="N2:N15"/>
  </sortState>
  <printOptions horizontalCentered="1"/>
  <pageMargins left="0.39370078740157483" right="0.31496062992125984" top="0.45" bottom="0.5118110236220472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D5FFA1C1171441977E2500F0441769" ma:contentTypeVersion="21" ma:contentTypeDescription="Vytvoří nový dokument" ma:contentTypeScope="" ma:versionID="d19982f85a29f3e81f3037f3e6a4da3f">
  <xsd:schema xmlns:xsd="http://www.w3.org/2001/XMLSchema" xmlns:xs="http://www.w3.org/2001/XMLSchema" xmlns:p="http://schemas.microsoft.com/office/2006/metadata/properties" xmlns:ns2="f0e9dffb-10b4-43a2-a71f-636e7749a0ae" xmlns:ns3="64c94459-a6c5-4cf5-89c0-115a7989494d" xmlns:ns4="107ea3ff-ebed-4698-b54c-04cca22f4541" targetNamespace="http://schemas.microsoft.com/office/2006/metadata/properties" ma:root="true" ma:fieldsID="baeae5e8dea036a9ec441174e5bbb308" ns2:_="" ns3:_="" ns4:_="">
    <xsd:import namespace="f0e9dffb-10b4-43a2-a71f-636e7749a0ae"/>
    <xsd:import namespace="64c94459-a6c5-4cf5-89c0-115a7989494d"/>
    <xsd:import namespace="107ea3ff-ebed-4698-b54c-04cca22f4541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9dffb-10b4-43a2-a71f-636e7749a0ae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09c10422-e8bd-4eab-9f3d-4429a0566d64}" ma:internalName="Rok" ma:readOnly="false" ma:showField="NR_x002d_roky">
      <xsd:simpleType>
        <xsd:restriction base="dms:Lookup"/>
      </xsd:simpleType>
    </xsd:element>
    <xsd:element name="Etapa" ma:index="3" ma:displayName="Etapa" ma:list="{09c10422-e8bd-4eab-9f3d-4429a0566d64}" ma:internalName="Etapa" ma:readOnly="false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f0e9dffb-10b4-43a2-a71f-636e7749a0ae">11</Rok>
    <Etapa xmlns="f0e9dffb-10b4-43a2-a71f-636e7749a0ae">8</Etapa>
    <_dlc_DocId xmlns="64c94459-a6c5-4cf5-89c0-115a7989494d">MMB0-1401690442-9338</_dlc_DocId>
    <_dlc_DocIdUrl xmlns="64c94459-a6c5-4cf5-89c0-115a7989494d">
      <Url>https://mmbonline.sharepoint.com/ORF/rozpocet/_layouts/15/DocIdRedir.aspx?ID=MMB0-1401690442-9338</Url>
      <Description>MMB0-1401690442-9338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4BFDB59-B2D9-4DF6-9DAE-A736D4130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e9dffb-10b4-43a2-a71f-636e7749a0ae"/>
    <ds:schemaRef ds:uri="64c94459-a6c5-4cf5-89c0-115a7989494d"/>
    <ds:schemaRef ds:uri="107ea3ff-ebed-4698-b54c-04cca22f45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B2F9E-B407-47B4-947A-7F91CF99E1A8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0e9dffb-10b4-43a2-a71f-636e7749a0ae"/>
    <ds:schemaRef ds:uri="http://purl.org/dc/elements/1.1/"/>
    <ds:schemaRef ds:uri="http://schemas.microsoft.com/office/infopath/2007/PartnerControls"/>
    <ds:schemaRef ds:uri="107ea3ff-ebed-4698-b54c-04cca22f4541"/>
    <ds:schemaRef ds:uri="64c94459-a6c5-4cf5-89c0-115a7989494d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483FDE1-3E7F-4551-9EDE-9676F1D828F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Daňové a Transfery</vt:lpstr>
      <vt:lpstr>N a K</vt:lpstr>
      <vt:lpstr>Příjmy_G</vt:lpstr>
      <vt:lpstr>Výdaje</vt:lpstr>
      <vt:lpstr>B a K</vt:lpstr>
      <vt:lpstr>Výdaje_G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  <vt:lpstr>Výdaje_G!Oblast_tisku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Jiri Trnecka</cp:lastModifiedBy>
  <cp:lastPrinted>2023-03-01T08:07:15Z</cp:lastPrinted>
  <dcterms:created xsi:type="dcterms:W3CDTF">2016-02-22T09:14:34Z</dcterms:created>
  <dcterms:modified xsi:type="dcterms:W3CDTF">2023-04-04T11:31:24Z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5046173c-2c61-4746-b6f9-87f83129b1a2</vt:lpwstr>
  </property>
  <property fmtid="{D5CDD505-2E9C-101B-9397-08002B2CF9AE}" pid="3" name="ContentTypeId">
    <vt:lpwstr>0x01010002D5FFA1C1171441977E2500F0441769</vt:lpwstr>
  </property>
</Properties>
</file>